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0" windowWidth="9435" windowHeight="4785" tabRatio="581" firstSheet="15" activeTab="20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 melléklet" sheetId="58" r:id="rId22"/>
    <sheet name="14.sz.melléklet" sheetId="38" r:id="rId23"/>
    <sheet name="14.a.sz. melléklet" sheetId="59" r:id="rId24"/>
    <sheet name="15.sz.melléklet" sheetId="39" r:id="rId25"/>
    <sheet name="15.a.sz.melléklet" sheetId="60" r:id="rId26"/>
    <sheet name="16.sz. melléklet" sheetId="40" r:id="rId27"/>
    <sheet name="16.a.sz. melléklet" sheetId="61" r:id="rId28"/>
    <sheet name="17. sz.melléklet" sheetId="21" r:id="rId29"/>
    <sheet name="18.sz.melléklet" sheetId="51" r:id="rId30"/>
    <sheet name="19.sz.melléklet" sheetId="62" r:id="rId31"/>
  </sheets>
  <definedNames>
    <definedName name="_xlnm.Print_Titles" localSheetId="8">'6. sz.melléklet'!$3:$3</definedName>
    <definedName name="_xlnm.Print_Area" localSheetId="1">'1.sz. melléklet'!$A$1:$Q$31</definedName>
    <definedName name="_xlnm.Print_Area" localSheetId="15">'10.sz. melléklet '!$A$1:$H$8</definedName>
    <definedName name="_xlnm.Print_Area" localSheetId="28">'17. sz.melléklet'!$A$1:$N$106</definedName>
    <definedName name="_xlnm.Print_Area" localSheetId="4">'4. sz.melléklet'!$A$1:$N$32</definedName>
    <definedName name="_xlnm.Print_Area" localSheetId="5">'5. sz.melléklet'!$A$1:$F$50</definedName>
    <definedName name="_xlnm.Print_Area" localSheetId="7">'5.b.sz. melléklet'!$A$1:$F$32</definedName>
    <definedName name="_xlnm.Print_Area" localSheetId="13">'8.sz. melléklet'!$A$1:$G$62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'11.sz.melléklet'!$A$14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45621"/>
</workbook>
</file>

<file path=xl/calcChain.xml><?xml version="1.0" encoding="utf-8"?>
<calcChain xmlns="http://schemas.openxmlformats.org/spreadsheetml/2006/main">
  <c r="D47" i="21" l="1"/>
  <c r="E47" i="21"/>
  <c r="F47" i="21"/>
  <c r="G47" i="21"/>
  <c r="H47" i="21"/>
  <c r="I47" i="21"/>
  <c r="J47" i="21"/>
  <c r="K47" i="21"/>
  <c r="L47" i="21"/>
  <c r="M47" i="21"/>
  <c r="C47" i="21"/>
  <c r="F32" i="10"/>
  <c r="B16" i="10"/>
  <c r="K152" i="44" l="1"/>
  <c r="B27" i="46"/>
  <c r="I94" i="44"/>
  <c r="H14" i="44"/>
  <c r="D25" i="62" l="1"/>
  <c r="C25" i="62"/>
  <c r="B25" i="62"/>
  <c r="P28" i="62"/>
  <c r="O28" i="62"/>
  <c r="N28" i="62"/>
  <c r="N22" i="62"/>
  <c r="N19" i="62"/>
  <c r="N18" i="62"/>
  <c r="N17" i="62"/>
  <c r="M28" i="62"/>
  <c r="L28" i="62"/>
  <c r="K28" i="62"/>
  <c r="K19" i="62"/>
  <c r="K18" i="62"/>
  <c r="K17" i="62"/>
  <c r="J28" i="62"/>
  <c r="I28" i="62"/>
  <c r="H22" i="62"/>
  <c r="H19" i="62"/>
  <c r="G28" i="62"/>
  <c r="F28" i="62"/>
  <c r="E22" i="62"/>
  <c r="P13" i="62"/>
  <c r="O13" i="62"/>
  <c r="N13" i="62"/>
  <c r="N6" i="62"/>
  <c r="M13" i="62"/>
  <c r="L13" i="62"/>
  <c r="K13" i="62"/>
  <c r="K6" i="62"/>
  <c r="J13" i="62"/>
  <c r="I13" i="62"/>
  <c r="H13" i="62"/>
  <c r="H6" i="62"/>
  <c r="G13" i="62"/>
  <c r="F13" i="62"/>
  <c r="E13" i="62"/>
  <c r="E5" i="62"/>
  <c r="B95" i="51"/>
  <c r="B90" i="51"/>
  <c r="H357" i="55"/>
  <c r="H361" i="55"/>
  <c r="E365" i="55"/>
  <c r="E22" i="55"/>
  <c r="I19" i="50"/>
  <c r="I16" i="50"/>
  <c r="F46" i="31"/>
  <c r="M157" i="49"/>
  <c r="N18" i="44"/>
  <c r="F41" i="31"/>
  <c r="F34" i="31"/>
  <c r="F31" i="31"/>
  <c r="F24" i="31"/>
  <c r="F21" i="31"/>
  <c r="F14" i="31"/>
  <c r="F11" i="31"/>
  <c r="F8" i="31"/>
  <c r="F7" i="31"/>
  <c r="F6" i="31"/>
  <c r="F5" i="31"/>
  <c r="E18" i="49"/>
  <c r="B11" i="46"/>
  <c r="J155" i="44"/>
  <c r="I155" i="44"/>
  <c r="F15" i="31" s="1"/>
  <c r="G155" i="44"/>
  <c r="F155" i="44"/>
  <c r="E155" i="44"/>
  <c r="F13" i="31" s="1"/>
  <c r="D155" i="44"/>
  <c r="F12" i="31" s="1"/>
  <c r="C155" i="44"/>
  <c r="K155" i="44"/>
  <c r="H155" i="44"/>
  <c r="F30" i="31" s="1"/>
  <c r="G15" i="45"/>
  <c r="G14" i="44"/>
  <c r="I6" i="44" l="1"/>
  <c r="B6" i="8"/>
  <c r="C41" i="43" l="1"/>
  <c r="B20" i="62" l="1"/>
  <c r="C28" i="62"/>
  <c r="D28" i="62"/>
  <c r="C13" i="62"/>
  <c r="D5" i="62"/>
  <c r="D13" i="62" s="1"/>
  <c r="J22" i="49"/>
  <c r="D25" i="56"/>
  <c r="F25" i="56"/>
  <c r="G25" i="56"/>
  <c r="H25" i="56"/>
  <c r="I25" i="56"/>
  <c r="J25" i="56"/>
  <c r="L25" i="56"/>
  <c r="M25" i="56"/>
  <c r="C25" i="56"/>
  <c r="D24" i="56"/>
  <c r="E24" i="56"/>
  <c r="F24" i="56"/>
  <c r="G24" i="56"/>
  <c r="H24" i="56"/>
  <c r="I24" i="56"/>
  <c r="J24" i="56"/>
  <c r="K24" i="56"/>
  <c r="L24" i="56"/>
  <c r="M24" i="56"/>
  <c r="N24" i="56"/>
  <c r="C24" i="56"/>
  <c r="D23" i="56"/>
  <c r="E23" i="56"/>
  <c r="F23" i="56"/>
  <c r="G23" i="56"/>
  <c r="H23" i="56"/>
  <c r="I23" i="56"/>
  <c r="J23" i="56"/>
  <c r="K23" i="56"/>
  <c r="L23" i="56"/>
  <c r="M23" i="56"/>
  <c r="N23" i="56"/>
  <c r="C23" i="56"/>
  <c r="D22" i="56"/>
  <c r="E22" i="56"/>
  <c r="F22" i="56"/>
  <c r="G22" i="56"/>
  <c r="H22" i="56"/>
  <c r="I22" i="56"/>
  <c r="J22" i="56"/>
  <c r="K22" i="56"/>
  <c r="L22" i="56"/>
  <c r="M22" i="56"/>
  <c r="N22" i="56"/>
  <c r="C22" i="56"/>
  <c r="D21" i="56"/>
  <c r="E21" i="56"/>
  <c r="F21" i="56"/>
  <c r="G21" i="56"/>
  <c r="H21" i="56"/>
  <c r="I21" i="56"/>
  <c r="J21" i="56"/>
  <c r="K21" i="56"/>
  <c r="L21" i="56"/>
  <c r="M21" i="56"/>
  <c r="N21" i="56"/>
  <c r="C21" i="56"/>
  <c r="D15" i="56"/>
  <c r="E15" i="56"/>
  <c r="F15" i="56"/>
  <c r="G15" i="56"/>
  <c r="H15" i="56"/>
  <c r="I15" i="56"/>
  <c r="J15" i="56"/>
  <c r="K15" i="56"/>
  <c r="L15" i="56"/>
  <c r="M15" i="56"/>
  <c r="N15" i="56"/>
  <c r="C15" i="56"/>
  <c r="D14" i="56"/>
  <c r="E14" i="56"/>
  <c r="F14" i="56"/>
  <c r="G14" i="56"/>
  <c r="H14" i="56"/>
  <c r="I14" i="56"/>
  <c r="J14" i="56"/>
  <c r="K14" i="56"/>
  <c r="L14" i="56"/>
  <c r="M14" i="56"/>
  <c r="N14" i="56"/>
  <c r="C14" i="56"/>
  <c r="D12" i="56"/>
  <c r="E12" i="56"/>
  <c r="F12" i="56"/>
  <c r="G12" i="56"/>
  <c r="H12" i="56"/>
  <c r="I12" i="56"/>
  <c r="J12" i="56"/>
  <c r="K12" i="56"/>
  <c r="L12" i="56"/>
  <c r="M12" i="56"/>
  <c r="N12" i="56"/>
  <c r="C12" i="56"/>
  <c r="D11" i="56"/>
  <c r="E11" i="56"/>
  <c r="F11" i="56"/>
  <c r="G11" i="56"/>
  <c r="H11" i="56"/>
  <c r="I11" i="56"/>
  <c r="J11" i="56"/>
  <c r="K11" i="56"/>
  <c r="L11" i="56"/>
  <c r="M11" i="56"/>
  <c r="N11" i="56"/>
  <c r="C11" i="56"/>
  <c r="D9" i="56"/>
  <c r="E9" i="56"/>
  <c r="F9" i="56"/>
  <c r="G9" i="56"/>
  <c r="H9" i="56"/>
  <c r="I9" i="56"/>
  <c r="J9" i="56"/>
  <c r="K9" i="56"/>
  <c r="L9" i="56"/>
  <c r="M9" i="56"/>
  <c r="N9" i="56"/>
  <c r="C9" i="56"/>
  <c r="E12" i="21"/>
  <c r="D12" i="21"/>
  <c r="G22" i="21"/>
  <c r="G46" i="21"/>
  <c r="K46" i="21"/>
  <c r="H46" i="21"/>
  <c r="I65" i="21"/>
  <c r="M65" i="21"/>
  <c r="I82" i="21"/>
  <c r="J82" i="21"/>
  <c r="K82" i="21"/>
  <c r="L82" i="21"/>
  <c r="M82" i="21"/>
  <c r="H82" i="21"/>
  <c r="G82" i="21"/>
  <c r="F82" i="21"/>
  <c r="E82" i="21"/>
  <c r="C102" i="21" l="1"/>
  <c r="K100" i="21"/>
  <c r="I100" i="21"/>
  <c r="G100" i="21"/>
  <c r="F100" i="21"/>
  <c r="D100" i="21"/>
  <c r="E100" i="21"/>
  <c r="H100" i="21"/>
  <c r="J100" i="21"/>
  <c r="L100" i="21"/>
  <c r="M100" i="21"/>
  <c r="N100" i="21"/>
  <c r="C100" i="21"/>
  <c r="B100" i="21"/>
  <c r="B15" i="21"/>
  <c r="B14" i="21"/>
  <c r="B26" i="56"/>
  <c r="B24" i="56"/>
  <c r="B23" i="56"/>
  <c r="B15" i="56"/>
  <c r="B14" i="56"/>
  <c r="B11" i="56"/>
  <c r="B9" i="56"/>
  <c r="B20" i="54"/>
  <c r="B17" i="54"/>
  <c r="B9" i="54"/>
  <c r="H209" i="55"/>
  <c r="H315" i="55" s="1"/>
  <c r="E209" i="55"/>
  <c r="D209" i="55"/>
  <c r="C209" i="55"/>
  <c r="F315" i="55"/>
  <c r="N369" i="55"/>
  <c r="C369" i="55"/>
  <c r="D365" i="55"/>
  <c r="C365" i="55"/>
  <c r="E361" i="55"/>
  <c r="D361" i="55"/>
  <c r="C361" i="55"/>
  <c r="E357" i="55"/>
  <c r="D357" i="55"/>
  <c r="C357" i="55"/>
  <c r="E353" i="55"/>
  <c r="D353" i="55"/>
  <c r="C353" i="55"/>
  <c r="E349" i="55"/>
  <c r="E345" i="55"/>
  <c r="D345" i="55"/>
  <c r="C345" i="55"/>
  <c r="D341" i="55"/>
  <c r="C341" i="55"/>
  <c r="E337" i="55"/>
  <c r="D337" i="55"/>
  <c r="C337" i="55"/>
  <c r="H333" i="55"/>
  <c r="E333" i="55"/>
  <c r="D333" i="55"/>
  <c r="C333" i="55"/>
  <c r="H322" i="55"/>
  <c r="E322" i="55"/>
  <c r="D322" i="55"/>
  <c r="C322" i="55"/>
  <c r="N281" i="55"/>
  <c r="N169" i="55"/>
  <c r="M315" i="55"/>
  <c r="N173" i="55"/>
  <c r="L311" i="55"/>
  <c r="K311" i="55"/>
  <c r="F303" i="55"/>
  <c r="F299" i="55"/>
  <c r="F295" i="55"/>
  <c r="F287" i="55"/>
  <c r="E281" i="55"/>
  <c r="E277" i="55"/>
  <c r="H273" i="55"/>
  <c r="E273" i="55"/>
  <c r="D273" i="55"/>
  <c r="C273" i="55"/>
  <c r="E269" i="55"/>
  <c r="D269" i="55"/>
  <c r="H265" i="55"/>
  <c r="E265" i="55"/>
  <c r="D265" i="55"/>
  <c r="C265" i="55"/>
  <c r="J261" i="55"/>
  <c r="I257" i="55"/>
  <c r="E253" i="55"/>
  <c r="H249" i="55"/>
  <c r="E249" i="55"/>
  <c r="D249" i="55"/>
  <c r="C249" i="55"/>
  <c r="H245" i="55"/>
  <c r="E245" i="55"/>
  <c r="D245" i="55"/>
  <c r="C245" i="55"/>
  <c r="I241" i="55"/>
  <c r="I237" i="55"/>
  <c r="E233" i="55"/>
  <c r="D233" i="55"/>
  <c r="C233" i="55"/>
  <c r="D229" i="55"/>
  <c r="C229" i="55"/>
  <c r="H225" i="55"/>
  <c r="E225" i="55"/>
  <c r="D225" i="55"/>
  <c r="C225" i="55"/>
  <c r="E217" i="55"/>
  <c r="E205" i="55"/>
  <c r="E201" i="55"/>
  <c r="E197" i="55"/>
  <c r="G193" i="55"/>
  <c r="E193" i="55"/>
  <c r="E189" i="55"/>
  <c r="G185" i="55"/>
  <c r="H185" i="55"/>
  <c r="E185" i="55"/>
  <c r="D185" i="55"/>
  <c r="C185" i="55"/>
  <c r="H177" i="55"/>
  <c r="G177" i="55"/>
  <c r="E177" i="55"/>
  <c r="D177" i="55"/>
  <c r="C177" i="55"/>
  <c r="E169" i="55"/>
  <c r="I165" i="55"/>
  <c r="E165" i="55"/>
  <c r="D165" i="55"/>
  <c r="D315" i="55" s="1"/>
  <c r="C165" i="55"/>
  <c r="C315" i="55" s="1"/>
  <c r="L151" i="55"/>
  <c r="F151" i="55"/>
  <c r="L135" i="55"/>
  <c r="M151" i="55"/>
  <c r="E109" i="55"/>
  <c r="D109" i="55"/>
  <c r="L131" i="55"/>
  <c r="C127" i="55"/>
  <c r="M120" i="55"/>
  <c r="D116" i="55"/>
  <c r="C116" i="55"/>
  <c r="L26" i="55"/>
  <c r="L74" i="55"/>
  <c r="L78" i="55"/>
  <c r="L92" i="55"/>
  <c r="F92" i="55"/>
  <c r="E86" i="55"/>
  <c r="L86" i="55" s="1"/>
  <c r="C82" i="55"/>
  <c r="E82" i="55"/>
  <c r="E78" i="55"/>
  <c r="E74" i="55"/>
  <c r="C66" i="55"/>
  <c r="E62" i="55"/>
  <c r="C62" i="55"/>
  <c r="C58" i="55"/>
  <c r="E58" i="55"/>
  <c r="F54" i="55"/>
  <c r="F50" i="55"/>
  <c r="C46" i="55"/>
  <c r="C34" i="55"/>
  <c r="L34" i="55" s="1"/>
  <c r="C30" i="55"/>
  <c r="C143" i="55"/>
  <c r="F139" i="55"/>
  <c r="D139" i="55"/>
  <c r="F135" i="55"/>
  <c r="E131" i="55"/>
  <c r="J26" i="55"/>
  <c r="K14" i="55"/>
  <c r="I14" i="55"/>
  <c r="G14" i="55"/>
  <c r="F14" i="55"/>
  <c r="E14" i="55"/>
  <c r="C14" i="55"/>
  <c r="C10" i="55"/>
  <c r="D6" i="55"/>
  <c r="E315" i="55" l="1"/>
  <c r="C373" i="55"/>
  <c r="C109" i="55"/>
  <c r="N298" i="49" l="1"/>
  <c r="L264" i="49"/>
  <c r="K259" i="49"/>
  <c r="K264" i="49" s="1"/>
  <c r="L259" i="49"/>
  <c r="J264" i="49"/>
  <c r="F264" i="49"/>
  <c r="F251" i="49"/>
  <c r="C298" i="49"/>
  <c r="F247" i="49"/>
  <c r="F243" i="49"/>
  <c r="F235" i="49"/>
  <c r="E229" i="49"/>
  <c r="E225" i="49"/>
  <c r="E294" i="49"/>
  <c r="H290" i="49"/>
  <c r="E290" i="49"/>
  <c r="D290" i="49"/>
  <c r="D302" i="49" s="1"/>
  <c r="C290" i="49"/>
  <c r="C302" i="49" s="1"/>
  <c r="H286" i="49"/>
  <c r="E286" i="49"/>
  <c r="E302" i="49" s="1"/>
  <c r="D286" i="49"/>
  <c r="C286" i="49"/>
  <c r="J221" i="49"/>
  <c r="I217" i="49"/>
  <c r="E213" i="49"/>
  <c r="I209" i="49"/>
  <c r="I205" i="49"/>
  <c r="E201" i="49"/>
  <c r="D201" i="49"/>
  <c r="C201" i="49"/>
  <c r="D197" i="49"/>
  <c r="C197" i="49"/>
  <c r="H193" i="49"/>
  <c r="E193" i="49"/>
  <c r="D193" i="49"/>
  <c r="C193" i="49"/>
  <c r="E189" i="49"/>
  <c r="E177" i="49"/>
  <c r="E173" i="49"/>
  <c r="E169" i="49"/>
  <c r="E165" i="49"/>
  <c r="G165" i="49"/>
  <c r="E282" i="49"/>
  <c r="D282" i="49"/>
  <c r="C282" i="49"/>
  <c r="E264" i="49" l="1"/>
  <c r="E278" i="49"/>
  <c r="E274" i="49"/>
  <c r="D274" i="49"/>
  <c r="C274" i="49"/>
  <c r="E270" i="49"/>
  <c r="D270" i="49"/>
  <c r="C270" i="49"/>
  <c r="H153" i="49"/>
  <c r="H264" i="49" s="1"/>
  <c r="G153" i="49"/>
  <c r="G264" i="49" s="1"/>
  <c r="E153" i="49"/>
  <c r="D153" i="49"/>
  <c r="C153" i="49"/>
  <c r="E149" i="49"/>
  <c r="I145" i="49"/>
  <c r="I264" i="49" s="1"/>
  <c r="E145" i="49"/>
  <c r="D145" i="49"/>
  <c r="D264" i="49" s="1"/>
  <c r="C145" i="49"/>
  <c r="C264" i="49" s="1"/>
  <c r="L54" i="49"/>
  <c r="L58" i="49"/>
  <c r="L70" i="49"/>
  <c r="L82" i="49"/>
  <c r="F46" i="49"/>
  <c r="F104" i="49" s="1"/>
  <c r="L132" i="49"/>
  <c r="M132" i="49"/>
  <c r="F132" i="49"/>
  <c r="L116" i="49"/>
  <c r="C78" i="49"/>
  <c r="E82" i="49" l="1"/>
  <c r="E78" i="49"/>
  <c r="E74" i="49"/>
  <c r="E70" i="49"/>
  <c r="C62" i="49"/>
  <c r="E58" i="49"/>
  <c r="E54" i="49"/>
  <c r="F50" i="49"/>
  <c r="C42" i="49"/>
  <c r="C30" i="49"/>
  <c r="C26" i="49"/>
  <c r="C104" i="49" s="1"/>
  <c r="C124" i="49"/>
  <c r="F120" i="49"/>
  <c r="D120" i="49"/>
  <c r="F116" i="49"/>
  <c r="K14" i="49"/>
  <c r="I14" i="49"/>
  <c r="H14" i="49"/>
  <c r="G14" i="49"/>
  <c r="F14" i="49"/>
  <c r="E14" i="49"/>
  <c r="C14" i="49"/>
  <c r="C10" i="49"/>
  <c r="D6" i="49"/>
  <c r="D32" i="3"/>
  <c r="D22" i="3"/>
  <c r="N23" i="46"/>
  <c r="N19" i="46"/>
  <c r="N10" i="46"/>
  <c r="N6" i="46"/>
  <c r="K18" i="46"/>
  <c r="K10" i="46"/>
  <c r="K6" i="46"/>
  <c r="H23" i="46"/>
  <c r="H20" i="46"/>
  <c r="H10" i="46"/>
  <c r="H6" i="46"/>
  <c r="E24" i="46"/>
  <c r="E10" i="46"/>
  <c r="E6" i="46"/>
  <c r="E5" i="46"/>
  <c r="B23" i="46"/>
  <c r="B22" i="62" s="1"/>
  <c r="E104" i="49" l="1"/>
  <c r="L74" i="49"/>
  <c r="C35" i="43"/>
  <c r="C45" i="43"/>
  <c r="B9" i="46"/>
  <c r="B8" i="46"/>
  <c r="C7" i="43"/>
  <c r="B5" i="46" s="1"/>
  <c r="B5" i="62" s="1"/>
  <c r="B12" i="46" l="1"/>
  <c r="C24" i="43"/>
  <c r="F125" i="45" l="1"/>
  <c r="L31" i="45"/>
  <c r="C26" i="43"/>
  <c r="G31" i="43" s="1"/>
  <c r="C18" i="43"/>
  <c r="C17" i="43"/>
  <c r="C16" i="43"/>
  <c r="C15" i="43"/>
  <c r="G12" i="43"/>
  <c r="E125" i="45"/>
  <c r="L75" i="45"/>
  <c r="L71" i="45"/>
  <c r="L103" i="45"/>
  <c r="E87" i="45"/>
  <c r="L87" i="45" s="1"/>
  <c r="L91" i="45"/>
  <c r="B20" i="46"/>
  <c r="B19" i="62" s="1"/>
  <c r="N118" i="44"/>
  <c r="N10" i="44"/>
  <c r="B18" i="46"/>
  <c r="N140" i="44"/>
  <c r="B25" i="8"/>
  <c r="I20" i="61"/>
  <c r="I19" i="61"/>
  <c r="F62" i="40"/>
  <c r="F56" i="40"/>
  <c r="F47" i="41"/>
  <c r="F43" i="39"/>
  <c r="F47" i="39"/>
  <c r="I19" i="59"/>
  <c r="D18" i="59"/>
  <c r="I8" i="59"/>
  <c r="I18" i="59" s="1"/>
  <c r="E55" i="38"/>
  <c r="F55" i="38"/>
  <c r="C23" i="43" l="1"/>
  <c r="B12" i="56" s="1"/>
  <c r="B12" i="21"/>
  <c r="G21" i="43"/>
  <c r="B7" i="46"/>
  <c r="C14" i="43"/>
  <c r="H93" i="51"/>
  <c r="H92" i="51"/>
  <c r="H91" i="51"/>
  <c r="H90" i="51"/>
  <c r="H94" i="51" s="1"/>
  <c r="D95" i="51"/>
  <c r="D91" i="51"/>
  <c r="D90" i="51"/>
  <c r="D93" i="51" s="1"/>
  <c r="H77" i="51"/>
  <c r="H71" i="51"/>
  <c r="H69" i="51"/>
  <c r="H67" i="51"/>
  <c r="H64" i="51"/>
  <c r="H63" i="51"/>
  <c r="H62" i="51"/>
  <c r="D77" i="51"/>
  <c r="D74" i="51"/>
  <c r="D67" i="51"/>
  <c r="D64" i="51"/>
  <c r="H58" i="51"/>
  <c r="H52" i="51"/>
  <c r="H50" i="51"/>
  <c r="H48" i="51"/>
  <c r="H45" i="51"/>
  <c r="H44" i="51"/>
  <c r="H43" i="51"/>
  <c r="D58" i="51"/>
  <c r="D55" i="51"/>
  <c r="D54" i="51"/>
  <c r="D48" i="51"/>
  <c r="D46" i="51"/>
  <c r="D45" i="51"/>
  <c r="H39" i="51"/>
  <c r="H36" i="51"/>
  <c r="H33" i="51"/>
  <c r="H31" i="51"/>
  <c r="H29" i="51"/>
  <c r="H26" i="51"/>
  <c r="H25" i="51"/>
  <c r="H24" i="51"/>
  <c r="D39" i="51"/>
  <c r="D36" i="51"/>
  <c r="D35" i="51"/>
  <c r="D33" i="51"/>
  <c r="D29" i="51"/>
  <c r="D27" i="51"/>
  <c r="D26" i="51"/>
  <c r="H20" i="51"/>
  <c r="H17" i="51"/>
  <c r="H14" i="51"/>
  <c r="H12" i="51"/>
  <c r="H10" i="51"/>
  <c r="H7" i="51"/>
  <c r="H6" i="51"/>
  <c r="H5" i="51"/>
  <c r="D20" i="51"/>
  <c r="D8" i="51"/>
  <c r="D10" i="51" s="1"/>
  <c r="D17" i="51"/>
  <c r="D16" i="51"/>
  <c r="D14" i="51"/>
  <c r="D7" i="51"/>
  <c r="D6" i="51"/>
  <c r="H46" i="31" l="1"/>
  <c r="H45" i="31"/>
  <c r="H44" i="31"/>
  <c r="H43" i="31"/>
  <c r="N371" i="55"/>
  <c r="N183" i="55"/>
  <c r="N175" i="55"/>
  <c r="N171" i="55"/>
  <c r="L149" i="55"/>
  <c r="L80" i="55"/>
  <c r="J122" i="55"/>
  <c r="L20" i="55"/>
  <c r="K122" i="55"/>
  <c r="F122" i="55"/>
  <c r="N300" i="49"/>
  <c r="L130" i="49"/>
  <c r="N151" i="49"/>
  <c r="D6" i="8"/>
  <c r="D25" i="8"/>
  <c r="E30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6" i="8"/>
  <c r="E27" i="8"/>
  <c r="E28" i="8"/>
  <c r="E29" i="8"/>
  <c r="E31" i="8"/>
  <c r="E33" i="8"/>
  <c r="H18" i="54"/>
  <c r="D9" i="46"/>
  <c r="H21" i="31" s="1"/>
  <c r="D10" i="46"/>
  <c r="E46" i="43" l="1"/>
  <c r="D17" i="54" s="1"/>
  <c r="D18" i="54" s="1"/>
  <c r="E31" i="43"/>
  <c r="E32" i="43"/>
  <c r="E24" i="43"/>
  <c r="I11" i="43"/>
  <c r="H6" i="31" s="1"/>
  <c r="D8" i="46"/>
  <c r="E157" i="44"/>
  <c r="N20" i="44"/>
  <c r="F157" i="44"/>
  <c r="D21" i="46" s="1"/>
  <c r="S21" i="46" s="1"/>
  <c r="H9" i="54" s="1"/>
  <c r="D157" i="44"/>
  <c r="C157" i="44"/>
  <c r="D18" i="46" s="1"/>
  <c r="S18" i="46" s="1"/>
  <c r="H6" i="54" s="1"/>
  <c r="N142" i="44"/>
  <c r="N12" i="44"/>
  <c r="I127" i="45"/>
  <c r="D86" i="51" s="1"/>
  <c r="H127" i="45"/>
  <c r="G127" i="45"/>
  <c r="D87" i="51" s="1"/>
  <c r="F127" i="45"/>
  <c r="D83" i="51" s="1"/>
  <c r="E127" i="45"/>
  <c r="D84" i="51" s="1"/>
  <c r="D127" i="45"/>
  <c r="D81" i="51" s="1"/>
  <c r="C127" i="45"/>
  <c r="D82" i="51" s="1"/>
  <c r="L97" i="45"/>
  <c r="S8" i="46"/>
  <c r="S9" i="46"/>
  <c r="D12" i="54" s="1"/>
  <c r="S10" i="46"/>
  <c r="P29" i="46"/>
  <c r="P23" i="46"/>
  <c r="P20" i="46"/>
  <c r="P19" i="46"/>
  <c r="P18" i="46"/>
  <c r="P13" i="46"/>
  <c r="P12" i="46"/>
  <c r="P6" i="46"/>
  <c r="M29" i="46"/>
  <c r="M23" i="46"/>
  <c r="M20" i="46"/>
  <c r="M19" i="46"/>
  <c r="M18" i="46"/>
  <c r="M13" i="46"/>
  <c r="M10" i="46"/>
  <c r="M12" i="46"/>
  <c r="M6" i="46"/>
  <c r="J29" i="46"/>
  <c r="J23" i="46"/>
  <c r="J20" i="46"/>
  <c r="J19" i="46"/>
  <c r="J18" i="46"/>
  <c r="J13" i="46"/>
  <c r="J12" i="46"/>
  <c r="J10" i="46"/>
  <c r="J6" i="46"/>
  <c r="G20" i="46"/>
  <c r="H62" i="41"/>
  <c r="D62" i="41"/>
  <c r="C62" i="41"/>
  <c r="G19" i="46"/>
  <c r="G18" i="46"/>
  <c r="D21" i="41"/>
  <c r="C21" i="41"/>
  <c r="G10" i="46"/>
  <c r="F40" i="41"/>
  <c r="G13" i="46"/>
  <c r="G12" i="46"/>
  <c r="G6" i="46"/>
  <c r="G5" i="46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2" i="31"/>
  <c r="H55" i="31"/>
  <c r="H57" i="31"/>
  <c r="H61" i="31"/>
  <c r="F304" i="49"/>
  <c r="G304" i="49"/>
  <c r="I304" i="49"/>
  <c r="J304" i="49"/>
  <c r="K304" i="49"/>
  <c r="L304" i="49"/>
  <c r="M304" i="49"/>
  <c r="N280" i="49"/>
  <c r="C304" i="49"/>
  <c r="D304" i="49"/>
  <c r="N272" i="49"/>
  <c r="K309" i="49"/>
  <c r="N257" i="49"/>
  <c r="N253" i="49"/>
  <c r="N249" i="49"/>
  <c r="N245" i="49"/>
  <c r="N241" i="49"/>
  <c r="N237" i="49"/>
  <c r="N227" i="49"/>
  <c r="N223" i="49"/>
  <c r="N219" i="49"/>
  <c r="N215" i="49"/>
  <c r="N211" i="49"/>
  <c r="N207" i="49"/>
  <c r="N203" i="49"/>
  <c r="N191" i="49"/>
  <c r="N187" i="49"/>
  <c r="N183" i="49"/>
  <c r="N179" i="49"/>
  <c r="N175" i="49"/>
  <c r="N163" i="49"/>
  <c r="N159" i="49"/>
  <c r="G134" i="49"/>
  <c r="H134" i="49"/>
  <c r="I134" i="49"/>
  <c r="J134" i="49"/>
  <c r="K134" i="49"/>
  <c r="L126" i="49"/>
  <c r="E134" i="49"/>
  <c r="L118" i="49"/>
  <c r="L114" i="49"/>
  <c r="L102" i="49"/>
  <c r="L98" i="49"/>
  <c r="L86" i="49"/>
  <c r="L94" i="49"/>
  <c r="L90" i="49"/>
  <c r="L76" i="49"/>
  <c r="L72" i="49"/>
  <c r="J106" i="49"/>
  <c r="L64" i="49"/>
  <c r="L60" i="49"/>
  <c r="L56" i="49"/>
  <c r="L52" i="49"/>
  <c r="L44" i="49"/>
  <c r="L40" i="49"/>
  <c r="L36" i="49"/>
  <c r="L32" i="49"/>
  <c r="L28" i="49"/>
  <c r="L24" i="49"/>
  <c r="G106" i="49"/>
  <c r="I106" i="49"/>
  <c r="L8" i="49"/>
  <c r="D32" i="8"/>
  <c r="F28" i="9"/>
  <c r="J28" i="9"/>
  <c r="I139" i="49" l="1"/>
  <c r="G139" i="49"/>
  <c r="L309" i="49"/>
  <c r="N296" i="49"/>
  <c r="I309" i="49"/>
  <c r="H304" i="49"/>
  <c r="D85" i="51"/>
  <c r="E5" i="43"/>
  <c r="H5" i="31" s="1"/>
  <c r="D6" i="46"/>
  <c r="S6" i="46" s="1"/>
  <c r="D8" i="54" s="1"/>
  <c r="L80" i="49"/>
  <c r="H81" i="51"/>
  <c r="H12" i="31"/>
  <c r="H80" i="51"/>
  <c r="H11" i="31"/>
  <c r="H83" i="51"/>
  <c r="H14" i="31"/>
  <c r="D20" i="46"/>
  <c r="H82" i="51"/>
  <c r="H13" i="31"/>
  <c r="D19" i="46"/>
  <c r="S19" i="46" s="1"/>
  <c r="H7" i="54" s="1"/>
  <c r="H24" i="31"/>
  <c r="H28" i="31" s="1"/>
  <c r="D11" i="46"/>
  <c r="D13" i="54" s="1"/>
  <c r="D15" i="54" s="1"/>
  <c r="D89" i="51"/>
  <c r="D94" i="51" s="1"/>
  <c r="D96" i="51" s="1"/>
  <c r="D5" i="46"/>
  <c r="S5" i="46" s="1"/>
  <c r="D7" i="54" s="1"/>
  <c r="J139" i="49"/>
  <c r="F134" i="49"/>
  <c r="N171" i="49"/>
  <c r="J309" i="49"/>
  <c r="N199" i="49"/>
  <c r="N261" i="49"/>
  <c r="S20" i="46"/>
  <c r="H8" i="54" s="1"/>
  <c r="N288" i="49"/>
  <c r="N292" i="49"/>
  <c r="H309" i="49"/>
  <c r="D309" i="49"/>
  <c r="N276" i="49"/>
  <c r="N284" i="49"/>
  <c r="G309" i="49"/>
  <c r="E304" i="49"/>
  <c r="F106" i="49"/>
  <c r="L20" i="49"/>
  <c r="K106" i="49"/>
  <c r="K139" i="49" s="1"/>
  <c r="L68" i="49"/>
  <c r="L48" i="49"/>
  <c r="H106" i="49"/>
  <c r="H139" i="49" s="1"/>
  <c r="L12" i="49"/>
  <c r="E106" i="49"/>
  <c r="E139" i="49" s="1"/>
  <c r="G29" i="46"/>
  <c r="L16" i="49"/>
  <c r="D106" i="49"/>
  <c r="L122" i="49"/>
  <c r="L134" i="49" s="1"/>
  <c r="D134" i="49"/>
  <c r="N147" i="49"/>
  <c r="N167" i="49"/>
  <c r="N233" i="49"/>
  <c r="F309" i="49"/>
  <c r="C106" i="49"/>
  <c r="C134" i="49"/>
  <c r="N155" i="49"/>
  <c r="N195" i="49"/>
  <c r="M309" i="49"/>
  <c r="J31" i="9"/>
  <c r="G157" i="44"/>
  <c r="H157" i="44"/>
  <c r="I157" i="44"/>
  <c r="J157" i="44"/>
  <c r="K157" i="44"/>
  <c r="L157" i="44"/>
  <c r="D28" i="46" s="1"/>
  <c r="S28" i="46" s="1"/>
  <c r="M157" i="44"/>
  <c r="N154" i="44"/>
  <c r="N150" i="44"/>
  <c r="N146" i="44"/>
  <c r="N138" i="44"/>
  <c r="N134" i="44"/>
  <c r="N130" i="44"/>
  <c r="N126" i="44"/>
  <c r="N122" i="44"/>
  <c r="N116" i="44"/>
  <c r="N112" i="44"/>
  <c r="N108" i="44"/>
  <c r="N104" i="44"/>
  <c r="N100" i="44"/>
  <c r="N96" i="44"/>
  <c r="N92" i="44"/>
  <c r="N88" i="44"/>
  <c r="N84" i="44"/>
  <c r="N80" i="44"/>
  <c r="N76" i="44"/>
  <c r="N72" i="44"/>
  <c r="N68" i="44"/>
  <c r="N64" i="44"/>
  <c r="N60" i="44"/>
  <c r="N56" i="44"/>
  <c r="N52" i="44"/>
  <c r="N48" i="44"/>
  <c r="N44" i="44"/>
  <c r="N40" i="44"/>
  <c r="N36" i="44"/>
  <c r="N32" i="44"/>
  <c r="N28" i="44"/>
  <c r="N24" i="44"/>
  <c r="N16" i="44"/>
  <c r="N8" i="44"/>
  <c r="J127" i="45"/>
  <c r="K127" i="45"/>
  <c r="L123" i="45"/>
  <c r="L119" i="45"/>
  <c r="L115" i="45"/>
  <c r="L111" i="45"/>
  <c r="L107" i="45"/>
  <c r="L101" i="45"/>
  <c r="L93" i="45"/>
  <c r="L89" i="45"/>
  <c r="L85" i="45"/>
  <c r="L81" i="45"/>
  <c r="L77" i="45"/>
  <c r="L73" i="45"/>
  <c r="L69" i="45"/>
  <c r="L65" i="45"/>
  <c r="L61" i="45"/>
  <c r="L57" i="45"/>
  <c r="L53" i="45"/>
  <c r="L49" i="45"/>
  <c r="L45" i="45"/>
  <c r="L41" i="45"/>
  <c r="L37" i="45"/>
  <c r="L33" i="45"/>
  <c r="L29" i="45"/>
  <c r="L25" i="45"/>
  <c r="L21" i="45"/>
  <c r="I111" i="55"/>
  <c r="L13" i="45"/>
  <c r="L9" i="45"/>
  <c r="E48" i="43"/>
  <c r="E16" i="43"/>
  <c r="E20" i="43"/>
  <c r="E19" i="43"/>
  <c r="E18" i="43"/>
  <c r="E17" i="43"/>
  <c r="E15" i="43"/>
  <c r="F375" i="55"/>
  <c r="G375" i="55"/>
  <c r="I375" i="55"/>
  <c r="J375" i="55"/>
  <c r="K375" i="55"/>
  <c r="L375" i="55"/>
  <c r="M375" i="55"/>
  <c r="N351" i="55"/>
  <c r="N339" i="55"/>
  <c r="C324" i="55"/>
  <c r="D324" i="55"/>
  <c r="D328" i="55" s="1"/>
  <c r="E324" i="55"/>
  <c r="E328" i="55" s="1"/>
  <c r="G324" i="55"/>
  <c r="G328" i="55" s="1"/>
  <c r="H324" i="55"/>
  <c r="H328" i="55" s="1"/>
  <c r="K313" i="55"/>
  <c r="K317" i="55" s="1"/>
  <c r="K381" i="55" s="1"/>
  <c r="L313" i="55"/>
  <c r="L317" i="55" s="1"/>
  <c r="N305" i="55"/>
  <c r="N301" i="55"/>
  <c r="N297" i="55"/>
  <c r="N293" i="55"/>
  <c r="N279" i="55"/>
  <c r="N263" i="55"/>
  <c r="N259" i="55"/>
  <c r="N255" i="55"/>
  <c r="N243" i="55"/>
  <c r="N239" i="55"/>
  <c r="N235" i="55"/>
  <c r="N231" i="55"/>
  <c r="N223" i="55"/>
  <c r="N219" i="55"/>
  <c r="N215" i="55"/>
  <c r="N207" i="55"/>
  <c r="N203" i="55"/>
  <c r="N191" i="55"/>
  <c r="J317" i="55"/>
  <c r="G153" i="55"/>
  <c r="H153" i="55"/>
  <c r="I153" i="55"/>
  <c r="J153" i="55"/>
  <c r="K153" i="55"/>
  <c r="L145" i="55"/>
  <c r="D153" i="55"/>
  <c r="F153" i="55"/>
  <c r="L137" i="55"/>
  <c r="L133" i="55"/>
  <c r="H122" i="55"/>
  <c r="C118" i="55"/>
  <c r="C122" i="55" s="1"/>
  <c r="D118" i="55"/>
  <c r="D122" i="55" s="1"/>
  <c r="E118" i="55"/>
  <c r="E122" i="55" s="1"/>
  <c r="L106" i="55"/>
  <c r="L102" i="55"/>
  <c r="L98" i="55"/>
  <c r="L94" i="55"/>
  <c r="L90" i="55"/>
  <c r="L76" i="55"/>
  <c r="D20" i="54"/>
  <c r="L68" i="55"/>
  <c r="L56" i="55"/>
  <c r="L48" i="55"/>
  <c r="L44" i="55"/>
  <c r="L40" i="55"/>
  <c r="L36" i="55"/>
  <c r="L32" i="55"/>
  <c r="G111" i="55"/>
  <c r="H111" i="55"/>
  <c r="H159" i="55" s="1"/>
  <c r="F33" i="3"/>
  <c r="F32" i="3"/>
  <c r="K11" i="58"/>
  <c r="K14" i="58" s="1"/>
  <c r="K18" i="59"/>
  <c r="K21" i="59" s="1"/>
  <c r="K11" i="60"/>
  <c r="K14" i="60" s="1"/>
  <c r="K23" i="61"/>
  <c r="K19" i="61"/>
  <c r="C375" i="55" l="1"/>
  <c r="E317" i="55"/>
  <c r="C317" i="55"/>
  <c r="N251" i="55"/>
  <c r="N304" i="49"/>
  <c r="I317" i="55"/>
  <c r="I381" i="55" s="1"/>
  <c r="D317" i="55"/>
  <c r="H317" i="55"/>
  <c r="L381" i="55"/>
  <c r="P157" i="44"/>
  <c r="L106" i="49"/>
  <c r="L139" i="49" s="1"/>
  <c r="H21" i="54"/>
  <c r="M317" i="55"/>
  <c r="M381" i="55" s="1"/>
  <c r="N289" i="55"/>
  <c r="F317" i="55"/>
  <c r="F381" i="55" s="1"/>
  <c r="J381" i="55"/>
  <c r="H88" i="51"/>
  <c r="H34" i="31"/>
  <c r="D25" i="46"/>
  <c r="S25" i="46" s="1"/>
  <c r="H14" i="54" s="1"/>
  <c r="H87" i="51"/>
  <c r="H30" i="31"/>
  <c r="D23" i="46"/>
  <c r="S23" i="46" s="1"/>
  <c r="H13" i="54" s="1"/>
  <c r="G317" i="55"/>
  <c r="O317" i="55" s="1"/>
  <c r="D26" i="46"/>
  <c r="S26" i="46" s="1"/>
  <c r="H95" i="51"/>
  <c r="D27" i="46"/>
  <c r="S27" i="46" s="1"/>
  <c r="H84" i="51"/>
  <c r="H85" i="51" s="1"/>
  <c r="H15" i="31"/>
  <c r="H16" i="31" s="1"/>
  <c r="D22" i="46"/>
  <c r="S22" i="46" s="1"/>
  <c r="H10" i="54" s="1"/>
  <c r="H11" i="54" s="1"/>
  <c r="H86" i="51"/>
  <c r="H31" i="31"/>
  <c r="D24" i="46"/>
  <c r="S24" i="46" s="1"/>
  <c r="H12" i="54" s="1"/>
  <c r="D29" i="46"/>
  <c r="S29" i="46" s="1"/>
  <c r="S31" i="46" s="1"/>
  <c r="F139" i="49"/>
  <c r="H41" i="31"/>
  <c r="H47" i="31" s="1"/>
  <c r="E111" i="55"/>
  <c r="N127" i="45"/>
  <c r="S11" i="46"/>
  <c r="D7" i="46"/>
  <c r="I21" i="43"/>
  <c r="H7" i="31" s="1"/>
  <c r="F111" i="55"/>
  <c r="F159" i="55" s="1"/>
  <c r="D9" i="54" s="1"/>
  <c r="H8" i="31" s="1"/>
  <c r="L60" i="55"/>
  <c r="C153" i="55"/>
  <c r="C111" i="55"/>
  <c r="L64" i="55"/>
  <c r="N267" i="55"/>
  <c r="L8" i="55"/>
  <c r="D111" i="55"/>
  <c r="D159" i="55" s="1"/>
  <c r="N187" i="55"/>
  <c r="N275" i="55"/>
  <c r="N343" i="55"/>
  <c r="N195" i="55"/>
  <c r="N271" i="55"/>
  <c r="H20" i="54"/>
  <c r="N335" i="55"/>
  <c r="M122" i="55"/>
  <c r="N247" i="55"/>
  <c r="C309" i="49"/>
  <c r="Q304" i="49"/>
  <c r="Q266" i="49"/>
  <c r="N266" i="49"/>
  <c r="J111" i="55"/>
  <c r="J159" i="55" s="1"/>
  <c r="N211" i="55"/>
  <c r="N309" i="55"/>
  <c r="H17" i="54"/>
  <c r="H19" i="54" s="1"/>
  <c r="L72" i="55"/>
  <c r="N313" i="55"/>
  <c r="N324" i="55"/>
  <c r="N328" i="55" s="1"/>
  <c r="C328" i="55"/>
  <c r="D375" i="55"/>
  <c r="N359" i="55"/>
  <c r="F21" i="43"/>
  <c r="N157" i="44"/>
  <c r="N367" i="55"/>
  <c r="N227" i="55"/>
  <c r="E309" i="49"/>
  <c r="N179" i="55"/>
  <c r="N199" i="55"/>
  <c r="N285" i="55"/>
  <c r="H375" i="55"/>
  <c r="H381" i="55" s="1"/>
  <c r="N363" i="55"/>
  <c r="N167" i="55"/>
  <c r="E153" i="55"/>
  <c r="L141" i="55"/>
  <c r="D139" i="49"/>
  <c r="C139" i="49"/>
  <c r="D381" i="55"/>
  <c r="E375" i="55"/>
  <c r="N347" i="55"/>
  <c r="N355" i="55"/>
  <c r="L17" i="45"/>
  <c r="L24" i="55"/>
  <c r="L52" i="55"/>
  <c r="L84" i="55"/>
  <c r="K111" i="55"/>
  <c r="L16" i="55"/>
  <c r="L12" i="55"/>
  <c r="I159" i="55"/>
  <c r="L118" i="55"/>
  <c r="L122" i="55" s="1"/>
  <c r="L129" i="55"/>
  <c r="H9" i="31" l="1"/>
  <c r="H18" i="31" s="1"/>
  <c r="O375" i="55"/>
  <c r="H35" i="31"/>
  <c r="H37" i="31" s="1"/>
  <c r="H15" i="54"/>
  <c r="H89" i="51"/>
  <c r="L153" i="55"/>
  <c r="N375" i="55"/>
  <c r="N317" i="55"/>
  <c r="R309" i="49"/>
  <c r="H96" i="51"/>
  <c r="G381" i="55"/>
  <c r="L127" i="45"/>
  <c r="H53" i="31"/>
  <c r="C381" i="55"/>
  <c r="C159" i="55"/>
  <c r="L111" i="55"/>
  <c r="L159" i="55" s="1"/>
  <c r="D21" i="54"/>
  <c r="K159" i="55"/>
  <c r="N111" i="55"/>
  <c r="M153" i="55"/>
  <c r="E159" i="55"/>
  <c r="D10" i="54" s="1"/>
  <c r="H22" i="54"/>
  <c r="S7" i="46"/>
  <c r="N309" i="49"/>
  <c r="E381" i="55"/>
  <c r="G159" i="55"/>
  <c r="N381" i="55" l="1"/>
  <c r="H54" i="31"/>
  <c r="H56" i="31" s="1"/>
  <c r="M159" i="55"/>
  <c r="D11" i="54"/>
  <c r="D19" i="54" s="1"/>
  <c r="D22" i="54" s="1"/>
  <c r="K22" i="61"/>
  <c r="G92" i="40"/>
  <c r="C92" i="40"/>
  <c r="C93" i="40" s="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E54" i="40"/>
  <c r="G54" i="40" s="1"/>
  <c r="D58" i="40"/>
  <c r="E58" i="40"/>
  <c r="F58" i="40"/>
  <c r="C64" i="40"/>
  <c r="D64" i="40"/>
  <c r="G64" i="40" s="1"/>
  <c r="E64" i="40"/>
  <c r="F64" i="40"/>
  <c r="C68" i="40"/>
  <c r="D68" i="40"/>
  <c r="G68" i="40" s="1"/>
  <c r="D72" i="40"/>
  <c r="C80" i="40"/>
  <c r="G80" i="40" s="1"/>
  <c r="E92" i="40"/>
  <c r="F92" i="40"/>
  <c r="E97" i="38"/>
  <c r="G97" i="38"/>
  <c r="C97" i="38"/>
  <c r="C48" i="38"/>
  <c r="D48" i="38"/>
  <c r="D25" i="38"/>
  <c r="D81" i="38"/>
  <c r="D97" i="38" s="1"/>
  <c r="C93" i="38"/>
  <c r="G61" i="38"/>
  <c r="G57" i="38"/>
  <c r="G69" i="38"/>
  <c r="E69" i="38"/>
  <c r="G65" i="38"/>
  <c r="G73" i="38" s="1"/>
  <c r="F65" i="38"/>
  <c r="E65" i="38"/>
  <c r="D65" i="38"/>
  <c r="C65" i="38"/>
  <c r="C73" i="38" s="1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F73" i="38"/>
  <c r="E48" i="38"/>
  <c r="F48" i="38"/>
  <c r="G44" i="38"/>
  <c r="G32" i="38"/>
  <c r="G48" i="38" s="1"/>
  <c r="C25" i="38"/>
  <c r="E25" i="38"/>
  <c r="F25" i="38"/>
  <c r="G21" i="38"/>
  <c r="G17" i="38"/>
  <c r="G25" i="38" s="1"/>
  <c r="G13" i="38"/>
  <c r="G9" i="38"/>
  <c r="E81" i="41"/>
  <c r="D53" i="41"/>
  <c r="H53" i="41" s="1"/>
  <c r="C53" i="41"/>
  <c r="H21" i="41"/>
  <c r="D22" i="41"/>
  <c r="E22" i="41"/>
  <c r="F22" i="41"/>
  <c r="H22" i="41"/>
  <c r="H13" i="41"/>
  <c r="H76" i="41"/>
  <c r="F85" i="41"/>
  <c r="F76" i="41"/>
  <c r="F83" i="41"/>
  <c r="F84" i="41"/>
  <c r="H32" i="41"/>
  <c r="E72" i="40" l="1"/>
  <c r="F72" i="40"/>
  <c r="G25" i="40"/>
  <c r="C58" i="40"/>
  <c r="C25" i="40"/>
  <c r="G93" i="38"/>
  <c r="E73" i="38"/>
  <c r="D73" i="38"/>
  <c r="C85" i="41"/>
  <c r="C86" i="41" s="1"/>
  <c r="D81" i="41"/>
  <c r="D85" i="41" s="1"/>
  <c r="D86" i="41" s="1"/>
  <c r="D58" i="41"/>
  <c r="F58" i="41"/>
  <c r="G58" i="41"/>
  <c r="G62" i="41" s="1"/>
  <c r="E49" i="41"/>
  <c r="F49" i="41"/>
  <c r="F62" i="41" s="1"/>
  <c r="C40" i="41"/>
  <c r="D40" i="41"/>
  <c r="H28" i="41"/>
  <c r="F21" i="41"/>
  <c r="G21" i="41"/>
  <c r="C49" i="41"/>
  <c r="D49" i="41"/>
  <c r="E21" i="41"/>
  <c r="E65" i="39"/>
  <c r="E69" i="39"/>
  <c r="C69" i="39"/>
  <c r="C65" i="39"/>
  <c r="D61" i="39"/>
  <c r="G61" i="39" s="1"/>
  <c r="C49" i="39"/>
  <c r="D49" i="39"/>
  <c r="E49" i="39"/>
  <c r="F49" i="39"/>
  <c r="C45" i="39"/>
  <c r="D45" i="39"/>
  <c r="E45" i="39"/>
  <c r="F45" i="39"/>
  <c r="F53" i="39" s="1"/>
  <c r="F54" i="39" s="1"/>
  <c r="E28" i="39"/>
  <c r="G32" i="39"/>
  <c r="G24" i="39"/>
  <c r="G13" i="39"/>
  <c r="G9" i="39"/>
  <c r="D18" i="39"/>
  <c r="C73" i="39"/>
  <c r="C74" i="39" s="1"/>
  <c r="D73" i="39"/>
  <c r="D74" i="39" s="1"/>
  <c r="F73" i="39"/>
  <c r="D53" i="39"/>
  <c r="D54" i="39" s="1"/>
  <c r="C17" i="39"/>
  <c r="C18" i="39" s="1"/>
  <c r="D17" i="39"/>
  <c r="E17" i="39"/>
  <c r="E18" i="39" s="1"/>
  <c r="F17" i="39"/>
  <c r="F18" i="39" s="1"/>
  <c r="C36" i="39"/>
  <c r="C37" i="39" s="1"/>
  <c r="D36" i="39"/>
  <c r="D37" i="39" s="1"/>
  <c r="E36" i="39"/>
  <c r="F36" i="39"/>
  <c r="G17" i="39" l="1"/>
  <c r="G18" i="39" s="1"/>
  <c r="G36" i="40"/>
  <c r="G44" i="40" s="1"/>
  <c r="C72" i="40"/>
  <c r="G58" i="40"/>
  <c r="G72" i="40" s="1"/>
  <c r="H81" i="41"/>
  <c r="H85" i="41" s="1"/>
  <c r="H49" i="41"/>
  <c r="E58" i="41"/>
  <c r="E62" i="41" s="1"/>
  <c r="C58" i="41"/>
  <c r="H9" i="41"/>
  <c r="H17" i="41"/>
  <c r="G45" i="39"/>
  <c r="G49" i="39"/>
  <c r="E53" i="39"/>
  <c r="E54" i="39" s="1"/>
  <c r="C53" i="39"/>
  <c r="C54" i="39" s="1"/>
  <c r="G65" i="39"/>
  <c r="G69" i="39"/>
  <c r="E73" i="39"/>
  <c r="G28" i="39"/>
  <c r="G36" i="39"/>
  <c r="G37" i="39" s="1"/>
  <c r="L132" i="55"/>
  <c r="L136" i="55"/>
  <c r="L105" i="55"/>
  <c r="L101" i="55"/>
  <c r="L97" i="55"/>
  <c r="L93" i="55"/>
  <c r="L79" i="55"/>
  <c r="L75" i="55"/>
  <c r="C9" i="46"/>
  <c r="D17" i="43"/>
  <c r="D16" i="43"/>
  <c r="D18" i="43"/>
  <c r="D19" i="43"/>
  <c r="D15" i="43"/>
  <c r="C35" i="51"/>
  <c r="F64" i="38"/>
  <c r="E64" i="38"/>
  <c r="L117" i="49"/>
  <c r="L113" i="49"/>
  <c r="L101" i="49"/>
  <c r="L97" i="49"/>
  <c r="L93" i="49"/>
  <c r="L75" i="49"/>
  <c r="L71" i="49"/>
  <c r="L59" i="49"/>
  <c r="L55" i="49"/>
  <c r="C25" i="8"/>
  <c r="E25" i="8" s="1"/>
  <c r="L89" i="49" l="1"/>
  <c r="D44" i="40"/>
  <c r="D84" i="40"/>
  <c r="H58" i="41"/>
  <c r="E72" i="41"/>
  <c r="G53" i="39"/>
  <c r="G54" i="39" s="1"/>
  <c r="I28" i="9"/>
  <c r="K153" i="44"/>
  <c r="G126" i="45"/>
  <c r="G128" i="45" s="1"/>
  <c r="L122" i="45"/>
  <c r="L114" i="45"/>
  <c r="L92" i="45"/>
  <c r="L24" i="45"/>
  <c r="L88" i="45"/>
  <c r="L28" i="45"/>
  <c r="L118" i="45"/>
  <c r="L110" i="45"/>
  <c r="D29" i="43"/>
  <c r="D32" i="43"/>
  <c r="C126" i="45"/>
  <c r="I126" i="45"/>
  <c r="I128" i="45" s="1"/>
  <c r="D5" i="43" l="1"/>
  <c r="C128" i="45"/>
  <c r="L32" i="45"/>
  <c r="L76" i="45"/>
  <c r="E126" i="45"/>
  <c r="E128" i="45" s="1"/>
  <c r="E133" i="49"/>
  <c r="E117" i="55"/>
  <c r="E121" i="55" s="1"/>
  <c r="E123" i="55" s="1"/>
  <c r="L72" i="45"/>
  <c r="F126" i="45"/>
  <c r="F128" i="45" s="1"/>
  <c r="D92" i="40"/>
  <c r="G84" i="40"/>
  <c r="H72" i="41"/>
  <c r="E85" i="41"/>
  <c r="H36" i="41"/>
  <c r="H40" i="41" s="1"/>
  <c r="E40" i="41"/>
  <c r="J19" i="61"/>
  <c r="D12" i="40"/>
  <c r="C12" i="40"/>
  <c r="F20" i="40"/>
  <c r="D20" i="40"/>
  <c r="C20" i="40"/>
  <c r="D8" i="40"/>
  <c r="C8" i="40"/>
  <c r="D12" i="39"/>
  <c r="C12" i="39"/>
  <c r="D8" i="39"/>
  <c r="C8" i="39"/>
  <c r="D80" i="38"/>
  <c r="D56" i="38"/>
  <c r="C56" i="38"/>
  <c r="E31" i="38"/>
  <c r="F16" i="38"/>
  <c r="E16" i="38"/>
  <c r="D8" i="38"/>
  <c r="C8" i="38"/>
  <c r="E8" i="41"/>
  <c r="D16" i="41"/>
  <c r="C16" i="41"/>
  <c r="D8" i="41"/>
  <c r="C8" i="41"/>
  <c r="E152" i="55" l="1"/>
  <c r="E154" i="55" s="1"/>
  <c r="C32" i="8"/>
  <c r="E32" i="8" s="1"/>
  <c r="G93" i="51" l="1"/>
  <c r="G92" i="51"/>
  <c r="G90" i="51"/>
  <c r="G87" i="51"/>
  <c r="F95" i="51"/>
  <c r="F93" i="51"/>
  <c r="F92" i="51"/>
  <c r="F90" i="51"/>
  <c r="C91" i="51"/>
  <c r="C90" i="51"/>
  <c r="C87" i="51"/>
  <c r="C83" i="51"/>
  <c r="B91" i="51"/>
  <c r="G69" i="51"/>
  <c r="F74" i="51"/>
  <c r="C71" i="51"/>
  <c r="C52" i="51"/>
  <c r="F55" i="51"/>
  <c r="F36" i="51"/>
  <c r="C36" i="51"/>
  <c r="C33" i="51"/>
  <c r="F17" i="51"/>
  <c r="C14" i="51"/>
  <c r="G46" i="31"/>
  <c r="G44" i="31"/>
  <c r="G43" i="31"/>
  <c r="C93" i="51" l="1"/>
  <c r="G18" i="54" l="1"/>
  <c r="O23" i="46"/>
  <c r="J18" i="59" l="1"/>
  <c r="N174" i="55"/>
  <c r="G17" i="54"/>
  <c r="D117" i="55"/>
  <c r="C17" i="54"/>
  <c r="L27" i="55"/>
  <c r="C21" i="54"/>
  <c r="N158" i="49"/>
  <c r="C133" i="49"/>
  <c r="L63" i="49"/>
  <c r="C6" i="8"/>
  <c r="E6" i="8" s="1"/>
  <c r="H28" i="9"/>
  <c r="F87" i="51" s="1"/>
  <c r="E28" i="9"/>
  <c r="G86" i="51" s="1"/>
  <c r="D28" i="9"/>
  <c r="M156" i="44"/>
  <c r="M158" i="44" s="1"/>
  <c r="I156" i="44"/>
  <c r="C156" i="44"/>
  <c r="N19" i="44"/>
  <c r="L153" i="44"/>
  <c r="G95" i="51" s="1"/>
  <c r="D48" i="43"/>
  <c r="D47" i="43"/>
  <c r="K126" i="45"/>
  <c r="K128" i="45" s="1"/>
  <c r="F86" i="51" l="1"/>
  <c r="H29" i="9"/>
  <c r="G80" i="51"/>
  <c r="C158" i="44"/>
  <c r="G84" i="51"/>
  <c r="I158" i="44"/>
  <c r="I29" i="9"/>
  <c r="E47" i="43"/>
  <c r="C95" i="51"/>
  <c r="G21" i="54"/>
  <c r="M316" i="55"/>
  <c r="C12" i="46"/>
  <c r="F48" i="43"/>
  <c r="C82" i="51"/>
  <c r="C6" i="46"/>
  <c r="L11" i="55"/>
  <c r="H110" i="55"/>
  <c r="H112" i="55" s="1"/>
  <c r="L11" i="49"/>
  <c r="G31" i="51"/>
  <c r="I23" i="46"/>
  <c r="F28" i="43"/>
  <c r="F12" i="43"/>
  <c r="F63" i="40"/>
  <c r="F57" i="40"/>
  <c r="E50" i="43" l="1"/>
  <c r="D12" i="46"/>
  <c r="G32" i="10"/>
  <c r="E32" i="10"/>
  <c r="D32" i="10"/>
  <c r="C32" i="10"/>
  <c r="B30" i="10"/>
  <c r="B29" i="10" s="1"/>
  <c r="B25" i="10"/>
  <c r="B18" i="10"/>
  <c r="B11" i="10"/>
  <c r="B10" i="10" s="1"/>
  <c r="K24" i="53"/>
  <c r="J24" i="53"/>
  <c r="I24" i="53"/>
  <c r="J16" i="35"/>
  <c r="J8" i="35"/>
  <c r="L10" i="49"/>
  <c r="L62" i="49"/>
  <c r="F15" i="50" l="1"/>
  <c r="F23" i="50" s="1"/>
  <c r="S12" i="46"/>
  <c r="D13" i="46"/>
  <c r="S13" i="46" s="1"/>
  <c r="S15" i="46" s="1"/>
  <c r="F28" i="31"/>
  <c r="B32" i="10"/>
  <c r="F9" i="31"/>
  <c r="F16" i="31"/>
  <c r="F35" i="31"/>
  <c r="I30" i="9"/>
  <c r="J32" i="9" s="1"/>
  <c r="F53" i="31" l="1"/>
  <c r="F37" i="31"/>
  <c r="F18" i="31"/>
  <c r="B93" i="51"/>
  <c r="G74" i="51"/>
  <c r="B71" i="51"/>
  <c r="G55" i="51"/>
  <c r="B52" i="51"/>
  <c r="G36" i="51"/>
  <c r="B33" i="51"/>
  <c r="G17" i="51"/>
  <c r="B14" i="51"/>
  <c r="D66" i="21"/>
  <c r="B11" i="21"/>
  <c r="B9" i="21"/>
  <c r="F69" i="51"/>
  <c r="E19" i="61"/>
  <c r="G68" i="51" s="1"/>
  <c r="G71" i="51" s="1"/>
  <c r="D19" i="61"/>
  <c r="F68" i="51" s="1"/>
  <c r="F71" i="51" s="1"/>
  <c r="F91" i="40"/>
  <c r="E91" i="40"/>
  <c r="F90" i="40"/>
  <c r="E90" i="40"/>
  <c r="C90" i="40"/>
  <c r="G79" i="40"/>
  <c r="C79" i="40"/>
  <c r="C91" i="40" s="1"/>
  <c r="G78" i="40"/>
  <c r="C78" i="40"/>
  <c r="F71" i="40"/>
  <c r="F73" i="40" s="1"/>
  <c r="F70" i="40"/>
  <c r="D67" i="40"/>
  <c r="C67" i="40"/>
  <c r="D66" i="40"/>
  <c r="C66" i="40"/>
  <c r="G66" i="40" s="1"/>
  <c r="E63" i="40"/>
  <c r="D63" i="40"/>
  <c r="C63" i="40"/>
  <c r="E62" i="40"/>
  <c r="D62" i="40"/>
  <c r="C62" i="40"/>
  <c r="E57" i="40"/>
  <c r="D57" i="40"/>
  <c r="C57" i="40"/>
  <c r="E56" i="40"/>
  <c r="E70" i="40" s="1"/>
  <c r="D56" i="40"/>
  <c r="D70" i="40" s="1"/>
  <c r="C56" i="40"/>
  <c r="C70" i="40" s="1"/>
  <c r="G53" i="40"/>
  <c r="E53" i="40"/>
  <c r="G52" i="40"/>
  <c r="E52" i="40"/>
  <c r="G51" i="40"/>
  <c r="F43" i="40"/>
  <c r="E43" i="40"/>
  <c r="C43" i="40"/>
  <c r="C45" i="40" s="1"/>
  <c r="F42" i="40"/>
  <c r="E42" i="40"/>
  <c r="C42" i="40"/>
  <c r="B64" i="51" s="1"/>
  <c r="B67" i="51" s="1"/>
  <c r="G31" i="40"/>
  <c r="G30" i="40"/>
  <c r="F24" i="40"/>
  <c r="F26" i="40" s="1"/>
  <c r="E24" i="40"/>
  <c r="D24" i="40"/>
  <c r="C24" i="40"/>
  <c r="F23" i="40"/>
  <c r="E23" i="40"/>
  <c r="D23" i="40"/>
  <c r="F63" i="51" s="1"/>
  <c r="C23" i="40"/>
  <c r="G20" i="40"/>
  <c r="G19" i="40"/>
  <c r="G16" i="40"/>
  <c r="G15" i="40"/>
  <c r="G12" i="40"/>
  <c r="G11" i="40"/>
  <c r="G8" i="40"/>
  <c r="G7" i="40"/>
  <c r="G23" i="40" s="1"/>
  <c r="D34" i="40" s="1"/>
  <c r="J11" i="60"/>
  <c r="I11" i="60"/>
  <c r="E11" i="60"/>
  <c r="D11" i="60"/>
  <c r="F72" i="39"/>
  <c r="E72" i="39"/>
  <c r="C72" i="39"/>
  <c r="F71" i="39"/>
  <c r="E71" i="39"/>
  <c r="C71" i="39"/>
  <c r="G68" i="39"/>
  <c r="C68" i="39"/>
  <c r="G67" i="39"/>
  <c r="C67" i="39"/>
  <c r="G73" i="39"/>
  <c r="G74" i="39" s="1"/>
  <c r="G64" i="39"/>
  <c r="C64" i="39"/>
  <c r="G63" i="39"/>
  <c r="C63" i="39"/>
  <c r="F51" i="39"/>
  <c r="F48" i="39"/>
  <c r="E48" i="39"/>
  <c r="D48" i="39"/>
  <c r="C48" i="39"/>
  <c r="E47" i="39"/>
  <c r="D47" i="39"/>
  <c r="C47" i="39"/>
  <c r="G47" i="39" s="1"/>
  <c r="F44" i="39"/>
  <c r="E44" i="39"/>
  <c r="E52" i="39" s="1"/>
  <c r="D44" i="39"/>
  <c r="C44" i="39"/>
  <c r="E43" i="39"/>
  <c r="D43" i="39"/>
  <c r="D51" i="39" s="1"/>
  <c r="C43" i="39"/>
  <c r="F35" i="39"/>
  <c r="E35" i="39"/>
  <c r="C35" i="39"/>
  <c r="F34" i="39"/>
  <c r="E34" i="39"/>
  <c r="C34" i="39"/>
  <c r="B45" i="51" s="1"/>
  <c r="B48" i="51" s="1"/>
  <c r="G31" i="39"/>
  <c r="G30" i="39"/>
  <c r="G27" i="39"/>
  <c r="G26" i="39"/>
  <c r="F16" i="39"/>
  <c r="E16" i="39"/>
  <c r="G45" i="51" s="1"/>
  <c r="D16" i="39"/>
  <c r="G44" i="51" s="1"/>
  <c r="C16" i="39"/>
  <c r="G43" i="51" s="1"/>
  <c r="F15" i="39"/>
  <c r="K23" i="46" s="1"/>
  <c r="B82" i="21" s="1"/>
  <c r="E15" i="39"/>
  <c r="D15" i="39"/>
  <c r="C15" i="39"/>
  <c r="F43" i="51" s="1"/>
  <c r="G12" i="39"/>
  <c r="G11" i="39"/>
  <c r="G8" i="39"/>
  <c r="G7" i="39"/>
  <c r="E18" i="59"/>
  <c r="F30" i="51"/>
  <c r="F96" i="38"/>
  <c r="E96" i="38"/>
  <c r="D96" i="38"/>
  <c r="D98" i="38" s="1"/>
  <c r="C96" i="38"/>
  <c r="C98" i="38" s="1"/>
  <c r="F95" i="38"/>
  <c r="E95" i="38"/>
  <c r="C95" i="38"/>
  <c r="G92" i="38"/>
  <c r="G91" i="38"/>
  <c r="C91" i="38"/>
  <c r="G80" i="38"/>
  <c r="F72" i="38"/>
  <c r="F74" i="38" s="1"/>
  <c r="E72" i="38"/>
  <c r="E74" i="38" s="1"/>
  <c r="D72" i="38"/>
  <c r="D74" i="38" s="1"/>
  <c r="C72" i="38"/>
  <c r="C74" i="38" s="1"/>
  <c r="G68" i="38"/>
  <c r="E67" i="38"/>
  <c r="G67" i="38" s="1"/>
  <c r="G66" i="38"/>
  <c r="G64" i="38"/>
  <c r="F63" i="38"/>
  <c r="F71" i="38" s="1"/>
  <c r="E63" i="38"/>
  <c r="E71" i="38" s="1"/>
  <c r="D63" i="38"/>
  <c r="C63" i="38"/>
  <c r="G60" i="38"/>
  <c r="E60" i="38"/>
  <c r="D60" i="38"/>
  <c r="G59" i="38"/>
  <c r="E59" i="38"/>
  <c r="D59" i="38"/>
  <c r="G56" i="38"/>
  <c r="D55" i="38"/>
  <c r="D71" i="38" s="1"/>
  <c r="C55" i="38"/>
  <c r="F47" i="38"/>
  <c r="D47" i="38"/>
  <c r="C47" i="38"/>
  <c r="C49" i="38" s="1"/>
  <c r="F46" i="38"/>
  <c r="D46" i="38"/>
  <c r="C46" i="38"/>
  <c r="B26" i="51" s="1"/>
  <c r="B29" i="51" s="1"/>
  <c r="G43" i="38"/>
  <c r="G42" i="38"/>
  <c r="F24" i="38"/>
  <c r="F26" i="38" s="1"/>
  <c r="E24" i="38"/>
  <c r="E26" i="38" s="1"/>
  <c r="D24" i="38"/>
  <c r="C24" i="38"/>
  <c r="F23" i="38"/>
  <c r="B65" i="21" s="1"/>
  <c r="E23" i="38"/>
  <c r="F26" i="51" s="1"/>
  <c r="D23" i="38"/>
  <c r="C23" i="38"/>
  <c r="G20" i="38"/>
  <c r="G19" i="38"/>
  <c r="G16" i="38"/>
  <c r="G15" i="38"/>
  <c r="G12" i="38"/>
  <c r="G11" i="38"/>
  <c r="G8" i="38"/>
  <c r="G7" i="38"/>
  <c r="G23" i="38" s="1"/>
  <c r="E30" i="38" s="1"/>
  <c r="J11" i="58"/>
  <c r="I11" i="58"/>
  <c r="E11" i="58"/>
  <c r="G11" i="51" s="1"/>
  <c r="D11" i="58"/>
  <c r="F11" i="51" s="1"/>
  <c r="D80" i="41"/>
  <c r="D84" i="41" s="1"/>
  <c r="C80" i="41"/>
  <c r="C84" i="41" s="1"/>
  <c r="D79" i="41"/>
  <c r="D83" i="41" s="1"/>
  <c r="C79" i="41"/>
  <c r="H79" i="41" s="1"/>
  <c r="G57" i="41"/>
  <c r="G61" i="41" s="1"/>
  <c r="F57" i="41"/>
  <c r="E57" i="41"/>
  <c r="D57" i="41"/>
  <c r="C57" i="41"/>
  <c r="G56" i="41"/>
  <c r="G60" i="41" s="1"/>
  <c r="F56" i="41"/>
  <c r="F60" i="41" s="1"/>
  <c r="E56" i="41"/>
  <c r="D56" i="41"/>
  <c r="C56" i="41"/>
  <c r="F48" i="41"/>
  <c r="E48" i="41"/>
  <c r="D48" i="41"/>
  <c r="D61" i="41" s="1"/>
  <c r="D63" i="41" s="1"/>
  <c r="C48" i="41"/>
  <c r="E47" i="41"/>
  <c r="D47" i="41"/>
  <c r="C47" i="41"/>
  <c r="F39" i="41"/>
  <c r="D39" i="41"/>
  <c r="C39" i="41"/>
  <c r="F38" i="41"/>
  <c r="D38" i="41"/>
  <c r="B7" i="51" s="1"/>
  <c r="C38" i="41"/>
  <c r="B6" i="51" s="1"/>
  <c r="H27" i="41"/>
  <c r="H26" i="41"/>
  <c r="G20" i="41"/>
  <c r="F24" i="46" s="1"/>
  <c r="F20" i="41"/>
  <c r="E20" i="41"/>
  <c r="G7" i="51" s="1"/>
  <c r="D20" i="41"/>
  <c r="G6" i="51" s="1"/>
  <c r="C20" i="41"/>
  <c r="F19" i="41"/>
  <c r="E23" i="46" s="1"/>
  <c r="B46" i="21" s="1"/>
  <c r="E19" i="41"/>
  <c r="D19" i="41"/>
  <c r="C19" i="41"/>
  <c r="H16" i="41"/>
  <c r="H15" i="41"/>
  <c r="H8" i="41"/>
  <c r="H7" i="41"/>
  <c r="H19" i="41" s="1"/>
  <c r="E34" i="41" s="1"/>
  <c r="E70" i="41" s="1"/>
  <c r="E83" i="41" s="1"/>
  <c r="B22" i="52"/>
  <c r="G7" i="31"/>
  <c r="G6" i="31"/>
  <c r="M303" i="49"/>
  <c r="L303" i="49"/>
  <c r="K303" i="49"/>
  <c r="J303" i="49"/>
  <c r="I303" i="49"/>
  <c r="H303" i="49"/>
  <c r="G303" i="49"/>
  <c r="F303" i="49"/>
  <c r="M302" i="49"/>
  <c r="L302" i="49"/>
  <c r="K302" i="49"/>
  <c r="J302" i="49"/>
  <c r="I302" i="49"/>
  <c r="H302" i="49"/>
  <c r="G302" i="49"/>
  <c r="F302" i="49"/>
  <c r="E307" i="49"/>
  <c r="D307" i="49"/>
  <c r="C307" i="49"/>
  <c r="N295" i="49"/>
  <c r="N294" i="49"/>
  <c r="N291" i="49"/>
  <c r="N290" i="49"/>
  <c r="N287" i="49"/>
  <c r="N286" i="49"/>
  <c r="N302" i="49" s="1"/>
  <c r="N283" i="49"/>
  <c r="N282" i="49"/>
  <c r="N279" i="49"/>
  <c r="N278" i="49"/>
  <c r="E303" i="49"/>
  <c r="D303" i="49"/>
  <c r="C303" i="49"/>
  <c r="N274" i="49"/>
  <c r="N271" i="49"/>
  <c r="N270" i="49"/>
  <c r="L307" i="49"/>
  <c r="K307" i="49"/>
  <c r="J307" i="49"/>
  <c r="I307" i="49"/>
  <c r="G307" i="49"/>
  <c r="F307" i="49"/>
  <c r="N259" i="49"/>
  <c r="N256" i="49"/>
  <c r="N255" i="49"/>
  <c r="N252" i="49"/>
  <c r="N251" i="49"/>
  <c r="N248" i="49"/>
  <c r="N247" i="49"/>
  <c r="N244" i="49"/>
  <c r="N243" i="49"/>
  <c r="N239" i="49"/>
  <c r="N235" i="49"/>
  <c r="N232" i="49"/>
  <c r="N231" i="49"/>
  <c r="N226" i="49"/>
  <c r="N225" i="49"/>
  <c r="N221" i="49"/>
  <c r="N217" i="49"/>
  <c r="N214" i="49"/>
  <c r="N213" i="49"/>
  <c r="N210" i="49"/>
  <c r="N209" i="49"/>
  <c r="N206" i="49"/>
  <c r="N205" i="49"/>
  <c r="N202" i="49"/>
  <c r="N201" i="49"/>
  <c r="N198" i="49"/>
  <c r="N197" i="49"/>
  <c r="N193" i="49"/>
  <c r="N190" i="49"/>
  <c r="N189" i="49"/>
  <c r="N186" i="49"/>
  <c r="N185" i="49"/>
  <c r="N182" i="49"/>
  <c r="N181" i="49"/>
  <c r="N178" i="49"/>
  <c r="N177" i="49"/>
  <c r="N174" i="49"/>
  <c r="N173" i="49"/>
  <c r="N170" i="49"/>
  <c r="N169" i="49"/>
  <c r="N166" i="49"/>
  <c r="N165" i="49"/>
  <c r="N153" i="49"/>
  <c r="N145" i="49"/>
  <c r="K133" i="49"/>
  <c r="J133" i="49"/>
  <c r="I133" i="49"/>
  <c r="H133" i="49"/>
  <c r="G133" i="49"/>
  <c r="K132" i="49"/>
  <c r="J132" i="49"/>
  <c r="I132" i="49"/>
  <c r="H132" i="49"/>
  <c r="G132" i="49"/>
  <c r="E132" i="49"/>
  <c r="D132" i="49"/>
  <c r="C132" i="49"/>
  <c r="L125" i="49"/>
  <c r="L124" i="49"/>
  <c r="F133" i="49"/>
  <c r="D133" i="49"/>
  <c r="L120" i="49"/>
  <c r="K104" i="49"/>
  <c r="K137" i="49" s="1"/>
  <c r="J104" i="49"/>
  <c r="I104" i="49"/>
  <c r="I137" i="49" s="1"/>
  <c r="H104" i="49"/>
  <c r="G104" i="49"/>
  <c r="G137" i="49" s="1"/>
  <c r="E137" i="49"/>
  <c r="D104" i="49"/>
  <c r="C137" i="49"/>
  <c r="L85" i="49"/>
  <c r="L84" i="49"/>
  <c r="L79" i="49"/>
  <c r="L78" i="49"/>
  <c r="J105" i="49"/>
  <c r="J138" i="49" s="1"/>
  <c r="J140" i="49" s="1"/>
  <c r="L66" i="49"/>
  <c r="L51" i="49"/>
  <c r="L50" i="49"/>
  <c r="L47" i="49"/>
  <c r="L46" i="49"/>
  <c r="L43" i="49"/>
  <c r="L42" i="49"/>
  <c r="L39" i="49"/>
  <c r="L38" i="49"/>
  <c r="L35" i="49"/>
  <c r="L34" i="49"/>
  <c r="L30" i="49"/>
  <c r="C105" i="49"/>
  <c r="C138" i="49" s="1"/>
  <c r="C140" i="49" s="1"/>
  <c r="L26" i="49"/>
  <c r="L23" i="49"/>
  <c r="L22" i="49"/>
  <c r="K105" i="49"/>
  <c r="F105" i="49"/>
  <c r="E105" i="49"/>
  <c r="L18" i="49"/>
  <c r="L14" i="49"/>
  <c r="L6" i="49"/>
  <c r="L156" i="44"/>
  <c r="L158" i="44" s="1"/>
  <c r="K156" i="44"/>
  <c r="K158" i="44" s="1"/>
  <c r="J156" i="44"/>
  <c r="C25" i="46" s="1"/>
  <c r="G34" i="31" s="1"/>
  <c r="H156" i="44"/>
  <c r="H158" i="44" s="1"/>
  <c r="G156" i="44"/>
  <c r="G158" i="44" s="1"/>
  <c r="F156" i="44"/>
  <c r="F158" i="44" s="1"/>
  <c r="E156" i="44"/>
  <c r="D156" i="44"/>
  <c r="D158" i="44" s="1"/>
  <c r="C18" i="46"/>
  <c r="G11" i="31" s="1"/>
  <c r="L155" i="44"/>
  <c r="B24" i="21"/>
  <c r="B22" i="46"/>
  <c r="B21" i="62" s="1"/>
  <c r="B22" i="21"/>
  <c r="F80" i="51"/>
  <c r="N153" i="44"/>
  <c r="N152" i="44"/>
  <c r="N149" i="44"/>
  <c r="N148" i="44"/>
  <c r="N145" i="44"/>
  <c r="N144" i="44"/>
  <c r="N137" i="44"/>
  <c r="N136" i="44"/>
  <c r="N133" i="44"/>
  <c r="N132" i="44"/>
  <c r="N129" i="44"/>
  <c r="N128" i="44"/>
  <c r="N125" i="44"/>
  <c r="N124" i="44"/>
  <c r="N121" i="44"/>
  <c r="N120" i="44"/>
  <c r="N115" i="44"/>
  <c r="N114" i="44"/>
  <c r="N111" i="44"/>
  <c r="N110" i="44"/>
  <c r="N107" i="44"/>
  <c r="N106" i="44"/>
  <c r="N103" i="44"/>
  <c r="N102" i="44"/>
  <c r="N99" i="44"/>
  <c r="N98" i="44"/>
  <c r="N95" i="44"/>
  <c r="N94" i="44"/>
  <c r="N91" i="44"/>
  <c r="N90" i="44"/>
  <c r="N89" i="44"/>
  <c r="N87" i="44"/>
  <c r="N86" i="44"/>
  <c r="N83" i="44"/>
  <c r="N82" i="44"/>
  <c r="N79" i="44"/>
  <c r="N78" i="44"/>
  <c r="N75" i="44"/>
  <c r="N74" i="44"/>
  <c r="N71" i="44"/>
  <c r="N70" i="44"/>
  <c r="N67" i="44"/>
  <c r="N66" i="44"/>
  <c r="N63" i="44"/>
  <c r="N62" i="44"/>
  <c r="N59" i="44"/>
  <c r="N58" i="44"/>
  <c r="N55" i="44"/>
  <c r="N54" i="44"/>
  <c r="N51" i="44"/>
  <c r="N50" i="44"/>
  <c r="N47" i="44"/>
  <c r="N46" i="44"/>
  <c r="N43" i="44"/>
  <c r="N42" i="44"/>
  <c r="N39" i="44"/>
  <c r="N38" i="44"/>
  <c r="N35" i="44"/>
  <c r="N34" i="44"/>
  <c r="N31" i="44"/>
  <c r="N30" i="44"/>
  <c r="N27" i="44"/>
  <c r="N26" i="44"/>
  <c r="N23" i="44"/>
  <c r="N15" i="44"/>
  <c r="N14" i="44"/>
  <c r="N7" i="44"/>
  <c r="N6" i="44"/>
  <c r="G41" i="31"/>
  <c r="J126" i="45"/>
  <c r="J128" i="45" s="1"/>
  <c r="C86" i="51"/>
  <c r="C89" i="51" s="1"/>
  <c r="H126" i="45"/>
  <c r="H128" i="45" s="1"/>
  <c r="C84" i="51"/>
  <c r="D126" i="45"/>
  <c r="D128" i="45" s="1"/>
  <c r="K125" i="45"/>
  <c r="J125" i="45"/>
  <c r="I125" i="45"/>
  <c r="B86" i="51" s="1"/>
  <c r="H125" i="45"/>
  <c r="G125" i="45"/>
  <c r="B87" i="51" s="1"/>
  <c r="B83" i="51"/>
  <c r="B84" i="51"/>
  <c r="D125" i="45"/>
  <c r="B81" i="51" s="1"/>
  <c r="C125" i="45"/>
  <c r="B82" i="51" s="1"/>
  <c r="L106" i="45"/>
  <c r="L105" i="45"/>
  <c r="L100" i="45"/>
  <c r="L99" i="45"/>
  <c r="L84" i="45"/>
  <c r="L83" i="45"/>
  <c r="L80" i="45"/>
  <c r="L79" i="45"/>
  <c r="L68" i="45"/>
  <c r="L67" i="45"/>
  <c r="L64" i="45"/>
  <c r="L63" i="45"/>
  <c r="L60" i="45"/>
  <c r="L59" i="45"/>
  <c r="L56" i="45"/>
  <c r="L55" i="45"/>
  <c r="L52" i="45"/>
  <c r="L51" i="45"/>
  <c r="L48" i="45"/>
  <c r="L47" i="45"/>
  <c r="L44" i="45"/>
  <c r="L43" i="45"/>
  <c r="L40" i="45"/>
  <c r="L39" i="45"/>
  <c r="L36" i="45"/>
  <c r="L35" i="45"/>
  <c r="L23" i="45"/>
  <c r="L20" i="45"/>
  <c r="L19" i="45"/>
  <c r="L16" i="45"/>
  <c r="L15" i="45"/>
  <c r="L12" i="45"/>
  <c r="L11" i="45"/>
  <c r="L8" i="45"/>
  <c r="L7" i="45"/>
  <c r="F37" i="43"/>
  <c r="G19" i="54"/>
  <c r="F19" i="54"/>
  <c r="B18" i="54"/>
  <c r="M374" i="55"/>
  <c r="M380" i="55" s="1"/>
  <c r="M382" i="55" s="1"/>
  <c r="L374" i="55"/>
  <c r="K374" i="55"/>
  <c r="J374" i="55"/>
  <c r="I374" i="55"/>
  <c r="H374" i="55"/>
  <c r="G374" i="55"/>
  <c r="F374" i="55"/>
  <c r="M373" i="55"/>
  <c r="M379" i="55" s="1"/>
  <c r="L373" i="55"/>
  <c r="K373" i="55"/>
  <c r="J373" i="55"/>
  <c r="I373" i="55"/>
  <c r="H373" i="55"/>
  <c r="G373" i="55"/>
  <c r="F373" i="55"/>
  <c r="E373" i="55"/>
  <c r="D373" i="55"/>
  <c r="N366" i="55"/>
  <c r="N365" i="55"/>
  <c r="N364" i="55"/>
  <c r="N362" i="55"/>
  <c r="N361" i="55"/>
  <c r="N358" i="55"/>
  <c r="N357" i="55"/>
  <c r="N354" i="55"/>
  <c r="N353" i="55"/>
  <c r="N350" i="55"/>
  <c r="N349" i="55"/>
  <c r="N345" i="55"/>
  <c r="N341" i="55"/>
  <c r="N338" i="55"/>
  <c r="N337" i="55"/>
  <c r="N333" i="55"/>
  <c r="H326" i="55"/>
  <c r="G326" i="55"/>
  <c r="E326" i="55"/>
  <c r="D326" i="55"/>
  <c r="C326" i="55"/>
  <c r="H323" i="55"/>
  <c r="H327" i="55" s="1"/>
  <c r="G323" i="55"/>
  <c r="G327" i="55" s="1"/>
  <c r="E323" i="55"/>
  <c r="E327" i="55" s="1"/>
  <c r="D323" i="55"/>
  <c r="D327" i="55" s="1"/>
  <c r="C323" i="55"/>
  <c r="C327" i="55" s="1"/>
  <c r="N322" i="55"/>
  <c r="N326" i="55" s="1"/>
  <c r="L315" i="55"/>
  <c r="L379" i="55" s="1"/>
  <c r="K315" i="55"/>
  <c r="J315" i="55"/>
  <c r="J379" i="55" s="1"/>
  <c r="F14" i="54" s="1"/>
  <c r="I315" i="55"/>
  <c r="G315" i="55"/>
  <c r="F379" i="55"/>
  <c r="F9" i="54" s="1"/>
  <c r="L312" i="55"/>
  <c r="L316" i="55" s="1"/>
  <c r="L380" i="55" s="1"/>
  <c r="L382" i="55" s="1"/>
  <c r="K312" i="55"/>
  <c r="K316" i="55" s="1"/>
  <c r="N311" i="55"/>
  <c r="N308" i="55"/>
  <c r="N307" i="55"/>
  <c r="N304" i="55"/>
  <c r="N303" i="55"/>
  <c r="N300" i="55"/>
  <c r="N299" i="55"/>
  <c r="N296" i="55"/>
  <c r="N295" i="55"/>
  <c r="N294" i="55"/>
  <c r="N292" i="55"/>
  <c r="N291" i="55"/>
  <c r="N290" i="55"/>
  <c r="N287" i="55"/>
  <c r="N284" i="55"/>
  <c r="N283" i="55"/>
  <c r="N278" i="55"/>
  <c r="N277" i="55"/>
  <c r="N273" i="55"/>
  <c r="N270" i="55"/>
  <c r="N269" i="55"/>
  <c r="N265" i="55"/>
  <c r="J316" i="55"/>
  <c r="J380" i="55" s="1"/>
  <c r="N261" i="55"/>
  <c r="N257" i="55"/>
  <c r="N254" i="55"/>
  <c r="N253" i="55"/>
  <c r="N249" i="55"/>
  <c r="N245" i="55"/>
  <c r="N242" i="55"/>
  <c r="N241" i="55"/>
  <c r="N238" i="55"/>
  <c r="N237" i="55"/>
  <c r="N234" i="55"/>
  <c r="N233" i="55"/>
  <c r="N230" i="55"/>
  <c r="N229" i="55"/>
  <c r="N225" i="55"/>
  <c r="N222" i="55"/>
  <c r="N221" i="55"/>
  <c r="N218" i="55"/>
  <c r="N217" i="55"/>
  <c r="N214" i="55"/>
  <c r="N213" i="55"/>
  <c r="N209" i="55"/>
  <c r="N206" i="55"/>
  <c r="N205" i="55"/>
  <c r="N202" i="55"/>
  <c r="N201" i="55"/>
  <c r="N198" i="55"/>
  <c r="N197" i="55"/>
  <c r="N194" i="55"/>
  <c r="N193" i="55"/>
  <c r="N190" i="55"/>
  <c r="N189" i="55"/>
  <c r="N185" i="55"/>
  <c r="G316" i="55"/>
  <c r="N177" i="55"/>
  <c r="N165" i="55"/>
  <c r="N164" i="55"/>
  <c r="K152" i="55"/>
  <c r="J152" i="55"/>
  <c r="I152" i="55"/>
  <c r="H152" i="55"/>
  <c r="G152" i="55"/>
  <c r="K151" i="55"/>
  <c r="J151" i="55"/>
  <c r="I151" i="55"/>
  <c r="H151" i="55"/>
  <c r="G151" i="55"/>
  <c r="E151" i="55"/>
  <c r="D151" i="55"/>
  <c r="C151" i="55"/>
  <c r="L144" i="55"/>
  <c r="L143" i="55"/>
  <c r="F152" i="55"/>
  <c r="F154" i="55" s="1"/>
  <c r="D152" i="55"/>
  <c r="D154" i="55" s="1"/>
  <c r="C152" i="55"/>
  <c r="C154" i="55" s="1"/>
  <c r="L139" i="55"/>
  <c r="L128" i="55"/>
  <c r="L127" i="55"/>
  <c r="H121" i="55"/>
  <c r="D121" i="55"/>
  <c r="D123" i="55" s="1"/>
  <c r="D120" i="55"/>
  <c r="C120" i="55"/>
  <c r="L120" i="55" s="1"/>
  <c r="C117" i="55"/>
  <c r="C121" i="55" s="1"/>
  <c r="C123" i="55" s="1"/>
  <c r="L116" i="55"/>
  <c r="K109" i="55"/>
  <c r="K157" i="55" s="1"/>
  <c r="J109" i="55"/>
  <c r="J157" i="55" s="1"/>
  <c r="I109" i="55"/>
  <c r="H109" i="55"/>
  <c r="H157" i="55" s="1"/>
  <c r="G109" i="55"/>
  <c r="G157" i="55" s="1"/>
  <c r="B13" i="54" s="1"/>
  <c r="F109" i="55"/>
  <c r="F157" i="55" s="1"/>
  <c r="E157" i="55"/>
  <c r="D157" i="55"/>
  <c r="B7" i="54" s="1"/>
  <c r="L89" i="55"/>
  <c r="L88" i="55"/>
  <c r="L83" i="55"/>
  <c r="L82" i="55"/>
  <c r="C20" i="54"/>
  <c r="L70" i="55"/>
  <c r="L67" i="55"/>
  <c r="L66" i="55"/>
  <c r="L63" i="55"/>
  <c r="L62" i="55"/>
  <c r="L59" i="55"/>
  <c r="L58" i="55"/>
  <c r="L55" i="55"/>
  <c r="L54" i="55"/>
  <c r="L51" i="55"/>
  <c r="L50" i="55"/>
  <c r="L47" i="55"/>
  <c r="L46" i="55"/>
  <c r="L43" i="55"/>
  <c r="L42" i="55"/>
  <c r="L39" i="55"/>
  <c r="L38" i="55"/>
  <c r="L35" i="55"/>
  <c r="L31" i="55"/>
  <c r="L30" i="55"/>
  <c r="F110" i="55"/>
  <c r="F112" i="55" s="1"/>
  <c r="E110" i="55"/>
  <c r="L22" i="55"/>
  <c r="G110" i="55"/>
  <c r="G112" i="55" s="1"/>
  <c r="C110" i="55"/>
  <c r="C112" i="55" s="1"/>
  <c r="L14" i="55"/>
  <c r="L109" i="55" s="1"/>
  <c r="L10" i="55"/>
  <c r="D110" i="55"/>
  <c r="D112" i="55" s="1"/>
  <c r="L6" i="55"/>
  <c r="C28" i="46"/>
  <c r="R28" i="46" s="1"/>
  <c r="T28" i="46" s="1"/>
  <c r="Q27" i="46"/>
  <c r="C27" i="46"/>
  <c r="R27" i="46" s="1"/>
  <c r="T27" i="46" s="1"/>
  <c r="C26" i="46"/>
  <c r="R26" i="46" s="1"/>
  <c r="T26" i="46" s="1"/>
  <c r="C24" i="46"/>
  <c r="G31" i="31" s="1"/>
  <c r="Q23" i="46"/>
  <c r="F23" i="46"/>
  <c r="C23" i="46"/>
  <c r="G30" i="31" s="1"/>
  <c r="C22" i="46"/>
  <c r="R22" i="46" s="1"/>
  <c r="T22" i="46" s="1"/>
  <c r="O20" i="46"/>
  <c r="L20" i="46"/>
  <c r="F20" i="46"/>
  <c r="O19" i="46"/>
  <c r="L19" i="46"/>
  <c r="I19" i="46"/>
  <c r="F19" i="46"/>
  <c r="O18" i="46"/>
  <c r="L18" i="46"/>
  <c r="I18" i="46"/>
  <c r="F18" i="46"/>
  <c r="Q11" i="46"/>
  <c r="C11" i="46"/>
  <c r="R11" i="46" s="1"/>
  <c r="T11" i="46" s="1"/>
  <c r="R10" i="46"/>
  <c r="Q10" i="46"/>
  <c r="Q9" i="46"/>
  <c r="G21" i="31"/>
  <c r="Q8" i="46"/>
  <c r="C8" i="46"/>
  <c r="R8" i="46" s="1"/>
  <c r="T8" i="46" s="1"/>
  <c r="Q7" i="46"/>
  <c r="C7" i="46"/>
  <c r="R7" i="46" s="1"/>
  <c r="T7" i="46" s="1"/>
  <c r="Q5" i="46"/>
  <c r="F7" i="51" l="1"/>
  <c r="F10" i="51" s="1"/>
  <c r="E20" i="46"/>
  <c r="E19" i="62" s="1"/>
  <c r="F24" i="51"/>
  <c r="H18" i="46"/>
  <c r="H17" i="62" s="1"/>
  <c r="F25" i="51"/>
  <c r="H19" i="46"/>
  <c r="D79" i="38"/>
  <c r="M22" i="44"/>
  <c r="B10" i="56"/>
  <c r="B10" i="21"/>
  <c r="N373" i="55"/>
  <c r="H307" i="49"/>
  <c r="Q302" i="49"/>
  <c r="F64" i="51"/>
  <c r="N20" i="46"/>
  <c r="F62" i="51"/>
  <c r="N18" i="46"/>
  <c r="N29" i="46" s="1"/>
  <c r="G62" i="40"/>
  <c r="B21" i="21"/>
  <c r="B24" i="46"/>
  <c r="Q24" i="46" s="1"/>
  <c r="O315" i="55"/>
  <c r="L104" i="49"/>
  <c r="F12" i="51"/>
  <c r="F14" i="51" s="1"/>
  <c r="I12" i="58"/>
  <c r="F50" i="51"/>
  <c r="I12" i="60"/>
  <c r="F44" i="51"/>
  <c r="K19" i="46"/>
  <c r="F6" i="51"/>
  <c r="E19" i="46"/>
  <c r="E18" i="62" s="1"/>
  <c r="O326" i="55"/>
  <c r="C379" i="55"/>
  <c r="H34" i="41"/>
  <c r="H38" i="41" s="1"/>
  <c r="F5" i="51"/>
  <c r="E18" i="46"/>
  <c r="E17" i="62" s="1"/>
  <c r="E38" i="41"/>
  <c r="B40" i="21" s="1"/>
  <c r="F45" i="51"/>
  <c r="K20" i="46"/>
  <c r="K29" i="46" s="1"/>
  <c r="F81" i="51"/>
  <c r="B19" i="46"/>
  <c r="N315" i="55"/>
  <c r="N379" i="55" s="1"/>
  <c r="I157" i="55"/>
  <c r="B12" i="54" s="1"/>
  <c r="M109" i="55"/>
  <c r="H379" i="55"/>
  <c r="K379" i="55"/>
  <c r="G379" i="55"/>
  <c r="I379" i="55"/>
  <c r="F10" i="54" s="1"/>
  <c r="B10" i="54"/>
  <c r="D379" i="55"/>
  <c r="F6" i="54"/>
  <c r="E379" i="55"/>
  <c r="F8" i="54" s="1"/>
  <c r="L157" i="55"/>
  <c r="C157" i="55"/>
  <c r="M104" i="49"/>
  <c r="F83" i="51"/>
  <c r="B21" i="46"/>
  <c r="Q21" i="46" s="1"/>
  <c r="B28" i="46"/>
  <c r="Q28" i="46" s="1"/>
  <c r="B25" i="21"/>
  <c r="L125" i="45"/>
  <c r="N125" i="45"/>
  <c r="G24" i="31"/>
  <c r="F32" i="43"/>
  <c r="D50" i="43"/>
  <c r="E51" i="43" s="1"/>
  <c r="F82" i="51"/>
  <c r="F84" i="51"/>
  <c r="Q22" i="46"/>
  <c r="B20" i="21"/>
  <c r="F88" i="51"/>
  <c r="F89" i="51" s="1"/>
  <c r="B25" i="46"/>
  <c r="Q25" i="46" s="1"/>
  <c r="B23" i="21"/>
  <c r="N23" i="21" s="1"/>
  <c r="C5" i="43"/>
  <c r="C50" i="43" s="1"/>
  <c r="F67" i="51"/>
  <c r="F77" i="51" s="1"/>
  <c r="K13" i="58"/>
  <c r="K15" i="58" s="1"/>
  <c r="G12" i="51"/>
  <c r="G14" i="51" s="1"/>
  <c r="K12" i="58"/>
  <c r="J12" i="58"/>
  <c r="J13" i="58"/>
  <c r="E60" i="41"/>
  <c r="C60" i="41"/>
  <c r="K12" i="60"/>
  <c r="F49" i="51"/>
  <c r="K13" i="60"/>
  <c r="K15" i="60" s="1"/>
  <c r="G49" i="51"/>
  <c r="G15" i="39"/>
  <c r="D22" i="39" s="1"/>
  <c r="E51" i="39"/>
  <c r="C51" i="39"/>
  <c r="J19" i="59"/>
  <c r="K20" i="59"/>
  <c r="K22" i="59" s="1"/>
  <c r="G30" i="51"/>
  <c r="G33" i="51" s="1"/>
  <c r="I24" i="46"/>
  <c r="D95" i="38"/>
  <c r="G79" i="38"/>
  <c r="G95" i="38" s="1"/>
  <c r="G30" i="38"/>
  <c r="G46" i="38" s="1"/>
  <c r="E46" i="38"/>
  <c r="K19" i="59"/>
  <c r="F31" i="51"/>
  <c r="F33" i="51" s="1"/>
  <c r="G63" i="38"/>
  <c r="C71" i="38"/>
  <c r="G55" i="38"/>
  <c r="G71" i="38" s="1"/>
  <c r="K380" i="55"/>
  <c r="K382" i="55" s="1"/>
  <c r="G82" i="51"/>
  <c r="E158" i="44"/>
  <c r="G88" i="51"/>
  <c r="G89" i="51" s="1"/>
  <c r="J158" i="44"/>
  <c r="B85" i="51"/>
  <c r="B89" i="51"/>
  <c r="G14" i="54"/>
  <c r="J382" i="55"/>
  <c r="L126" i="45"/>
  <c r="L128" i="45" s="1"/>
  <c r="C81" i="51"/>
  <c r="C5" i="46"/>
  <c r="C85" i="51"/>
  <c r="C94" i="51" s="1"/>
  <c r="E158" i="55"/>
  <c r="E160" i="55" s="1"/>
  <c r="E112" i="55"/>
  <c r="J12" i="60"/>
  <c r="G50" i="51"/>
  <c r="G52" i="51" s="1"/>
  <c r="L23" i="46"/>
  <c r="K21" i="61"/>
  <c r="K20" i="61"/>
  <c r="J20" i="61"/>
  <c r="G62" i="51"/>
  <c r="C26" i="40"/>
  <c r="G64" i="51"/>
  <c r="E26" i="40"/>
  <c r="G63" i="51"/>
  <c r="D26" i="40"/>
  <c r="B93" i="21"/>
  <c r="M93" i="21" s="1"/>
  <c r="C64" i="51"/>
  <c r="C67" i="51" s="1"/>
  <c r="O6" i="46"/>
  <c r="D42" i="40"/>
  <c r="N12" i="46" s="1"/>
  <c r="N13" i="46" s="1"/>
  <c r="G34" i="40"/>
  <c r="G42" i="40" s="1"/>
  <c r="D82" i="40"/>
  <c r="G56" i="40"/>
  <c r="G70" i="40" s="1"/>
  <c r="H93" i="21"/>
  <c r="L93" i="21"/>
  <c r="C93" i="21"/>
  <c r="G93" i="21"/>
  <c r="K93" i="21"/>
  <c r="G24" i="51"/>
  <c r="C26" i="38"/>
  <c r="G25" i="51"/>
  <c r="D26" i="38"/>
  <c r="F29" i="51"/>
  <c r="F39" i="51" s="1"/>
  <c r="C26" i="51"/>
  <c r="C29" i="51" s="1"/>
  <c r="C39" i="51" s="1"/>
  <c r="I6" i="46"/>
  <c r="B58" i="21"/>
  <c r="B57" i="21"/>
  <c r="M57" i="21" s="1"/>
  <c r="C58" i="21"/>
  <c r="G57" i="21"/>
  <c r="L58" i="21"/>
  <c r="H70" i="41"/>
  <c r="H83" i="41" s="1"/>
  <c r="B10" i="51"/>
  <c r="G5" i="51"/>
  <c r="G10" i="51" s="1"/>
  <c r="C22" i="41"/>
  <c r="D41" i="41"/>
  <c r="C7" i="51"/>
  <c r="F6" i="46"/>
  <c r="R6" i="46" s="1"/>
  <c r="T6" i="46" s="1"/>
  <c r="C83" i="41"/>
  <c r="B39" i="21"/>
  <c r="N39" i="21" s="1"/>
  <c r="C41" i="41"/>
  <c r="C6" i="51"/>
  <c r="F5" i="46"/>
  <c r="D60" i="41"/>
  <c r="H56" i="41"/>
  <c r="B38" i="21"/>
  <c r="N38" i="21" s="1"/>
  <c r="E39" i="21"/>
  <c r="H47" i="41"/>
  <c r="D39" i="21"/>
  <c r="C45" i="51"/>
  <c r="C48" i="51" s="1"/>
  <c r="L6" i="46"/>
  <c r="B75" i="21"/>
  <c r="D75" i="21" s="1"/>
  <c r="G43" i="39"/>
  <c r="G51" i="39" s="1"/>
  <c r="F75" i="21"/>
  <c r="J75" i="21"/>
  <c r="N75" i="21"/>
  <c r="F48" i="51"/>
  <c r="I75" i="21"/>
  <c r="G105" i="49"/>
  <c r="G138" i="49" s="1"/>
  <c r="G140" i="49" s="1"/>
  <c r="I105" i="49"/>
  <c r="I138" i="49" s="1"/>
  <c r="I140" i="49" s="1"/>
  <c r="E138" i="49"/>
  <c r="E140" i="49" s="1"/>
  <c r="C19" i="46"/>
  <c r="G12" i="31" s="1"/>
  <c r="G81" i="51"/>
  <c r="N258" i="55"/>
  <c r="I316" i="55"/>
  <c r="I380" i="55" s="1"/>
  <c r="I382" i="55" s="1"/>
  <c r="C21" i="46"/>
  <c r="G14" i="31" s="1"/>
  <c r="G83" i="51"/>
  <c r="G85" i="51" s="1"/>
  <c r="P156" i="44"/>
  <c r="C158" i="55"/>
  <c r="D105" i="49"/>
  <c r="D138" i="49" s="1"/>
  <c r="D140" i="49" s="1"/>
  <c r="I110" i="55"/>
  <c r="K110" i="55"/>
  <c r="H105" i="49"/>
  <c r="H138" i="49" s="1"/>
  <c r="H140" i="49" s="1"/>
  <c r="G67" i="51"/>
  <c r="G77" i="51" s="1"/>
  <c r="G48" i="51"/>
  <c r="I20" i="46"/>
  <c r="G26" i="51"/>
  <c r="G29" i="51" s="1"/>
  <c r="G39" i="51" s="1"/>
  <c r="G24" i="38"/>
  <c r="G26" i="38" s="1"/>
  <c r="J21" i="61"/>
  <c r="J13" i="60"/>
  <c r="J20" i="59"/>
  <c r="B15" i="54"/>
  <c r="L7" i="55"/>
  <c r="C18" i="54"/>
  <c r="N178" i="55"/>
  <c r="D158" i="55"/>
  <c r="K138" i="49"/>
  <c r="K140" i="49" s="1"/>
  <c r="C20" i="46"/>
  <c r="G13" i="31" s="1"/>
  <c r="O156" i="44"/>
  <c r="N156" i="44"/>
  <c r="N158" i="44" s="1"/>
  <c r="R25" i="46"/>
  <c r="T25" i="46" s="1"/>
  <c r="N226" i="55"/>
  <c r="D23" i="21"/>
  <c r="D374" i="55"/>
  <c r="N346" i="55"/>
  <c r="N166" i="55"/>
  <c r="N312" i="55"/>
  <c r="L308" i="49"/>
  <c r="L310" i="49" s="1"/>
  <c r="F316" i="55"/>
  <c r="F380" i="55" s="1"/>
  <c r="N288" i="55"/>
  <c r="N236" i="49"/>
  <c r="N262" i="55"/>
  <c r="J308" i="49"/>
  <c r="J310" i="49" s="1"/>
  <c r="I308" i="49"/>
  <c r="I310" i="49" s="1"/>
  <c r="C374" i="55"/>
  <c r="E374" i="55"/>
  <c r="M308" i="49"/>
  <c r="M310" i="49" s="1"/>
  <c r="R23" i="46"/>
  <c r="T23" i="46" s="1"/>
  <c r="G380" i="55"/>
  <c r="N154" i="49"/>
  <c r="H308" i="49"/>
  <c r="H310" i="49" s="1"/>
  <c r="G308" i="49"/>
  <c r="G310" i="49" s="1"/>
  <c r="E308" i="49"/>
  <c r="E310" i="49" s="1"/>
  <c r="G15" i="31"/>
  <c r="R24" i="46"/>
  <c r="T24" i="46" s="1"/>
  <c r="N126" i="45"/>
  <c r="E32" i="3"/>
  <c r="R9" i="46"/>
  <c r="T9" i="46" s="1"/>
  <c r="L71" i="55"/>
  <c r="J110" i="55"/>
  <c r="L15" i="55"/>
  <c r="L23" i="55"/>
  <c r="H158" i="55"/>
  <c r="H160" i="55" s="1"/>
  <c r="F138" i="49"/>
  <c r="F140" i="49" s="1"/>
  <c r="F158" i="55"/>
  <c r="L140" i="55"/>
  <c r="L152" i="55" s="1"/>
  <c r="L154" i="55" s="1"/>
  <c r="F5" i="43"/>
  <c r="G5" i="31" s="1"/>
  <c r="G158" i="55"/>
  <c r="G160" i="55" s="1"/>
  <c r="N27" i="56"/>
  <c r="C13" i="46"/>
  <c r="L29" i="46"/>
  <c r="F52" i="39"/>
  <c r="N250" i="55"/>
  <c r="D52" i="39"/>
  <c r="G44" i="39"/>
  <c r="G16" i="39"/>
  <c r="D23" i="39" s="1"/>
  <c r="G23" i="39" s="1"/>
  <c r="G35" i="39" s="1"/>
  <c r="C52" i="39"/>
  <c r="N246" i="55"/>
  <c r="G48" i="39"/>
  <c r="G52" i="39" s="1"/>
  <c r="E316" i="55"/>
  <c r="G57" i="40"/>
  <c r="E71" i="40"/>
  <c r="E73" i="40" s="1"/>
  <c r="O29" i="46"/>
  <c r="D71" i="40"/>
  <c r="D73" i="40" s="1"/>
  <c r="N210" i="55"/>
  <c r="C71" i="40"/>
  <c r="C73" i="40" s="1"/>
  <c r="N342" i="55"/>
  <c r="G24" i="40"/>
  <c r="G67" i="40"/>
  <c r="G63" i="40"/>
  <c r="N334" i="55"/>
  <c r="L121" i="55"/>
  <c r="L123" i="55" s="1"/>
  <c r="L117" i="55"/>
  <c r="H80" i="41"/>
  <c r="F61" i="41"/>
  <c r="F63" i="41" s="1"/>
  <c r="H316" i="55"/>
  <c r="H380" i="55" s="1"/>
  <c r="E61" i="41"/>
  <c r="E63" i="41" s="1"/>
  <c r="F29" i="46"/>
  <c r="H57" i="41"/>
  <c r="R20" i="46"/>
  <c r="T20" i="46" s="1"/>
  <c r="N186" i="55"/>
  <c r="H48" i="41"/>
  <c r="H20" i="41"/>
  <c r="E35" i="41" s="1"/>
  <c r="E71" i="41" s="1"/>
  <c r="C61" i="41"/>
  <c r="C63" i="41" s="1"/>
  <c r="E39" i="41"/>
  <c r="N323" i="55"/>
  <c r="N327" i="55" s="1"/>
  <c r="I29" i="46"/>
  <c r="D316" i="55"/>
  <c r="E47" i="38"/>
  <c r="E49" i="38" s="1"/>
  <c r="G31" i="38"/>
  <c r="G47" i="38" s="1"/>
  <c r="G49" i="38" s="1"/>
  <c r="I12" i="46"/>
  <c r="R18" i="46"/>
  <c r="T18" i="46" s="1"/>
  <c r="G96" i="38"/>
  <c r="G98" i="38" s="1"/>
  <c r="G72" i="38"/>
  <c r="G74" i="38" s="1"/>
  <c r="N266" i="55"/>
  <c r="N274" i="55"/>
  <c r="C316" i="55"/>
  <c r="G28" i="31"/>
  <c r="G35" i="31"/>
  <c r="L137" i="49"/>
  <c r="L27" i="49"/>
  <c r="H137" i="49"/>
  <c r="J137" i="49"/>
  <c r="F137" i="49"/>
  <c r="D137" i="49"/>
  <c r="N218" i="49"/>
  <c r="L67" i="49"/>
  <c r="N162" i="49"/>
  <c r="N194" i="49"/>
  <c r="N260" i="49"/>
  <c r="D308" i="49"/>
  <c r="D310" i="49" s="1"/>
  <c r="C308" i="49"/>
  <c r="C310" i="49" s="1"/>
  <c r="L7" i="49"/>
  <c r="L19" i="49"/>
  <c r="L31" i="49"/>
  <c r="L121" i="49"/>
  <c r="L133" i="49" s="1"/>
  <c r="N222" i="49"/>
  <c r="N240" i="49"/>
  <c r="K308" i="49"/>
  <c r="K310" i="49" s="1"/>
  <c r="N275" i="49"/>
  <c r="N303" i="49" s="1"/>
  <c r="L15" i="49"/>
  <c r="N146" i="49"/>
  <c r="H60" i="41" l="1"/>
  <c r="E28" i="62"/>
  <c r="I58" i="21"/>
  <c r="H58" i="21"/>
  <c r="F45" i="31"/>
  <c r="F47" i="31" s="1"/>
  <c r="M155" i="44"/>
  <c r="H18" i="62"/>
  <c r="H28" i="62" s="1"/>
  <c r="H29" i="46"/>
  <c r="D58" i="21"/>
  <c r="K58" i="21"/>
  <c r="B35" i="51"/>
  <c r="B36" i="51" s="1"/>
  <c r="B39" i="51" s="1"/>
  <c r="H12" i="46"/>
  <c r="H13" i="46" s="1"/>
  <c r="M10" i="21"/>
  <c r="M10" i="56" s="1"/>
  <c r="K10" i="21"/>
  <c r="K10" i="56" s="1"/>
  <c r="I10" i="21"/>
  <c r="I10" i="56" s="1"/>
  <c r="G10" i="21"/>
  <c r="G10" i="56" s="1"/>
  <c r="E10" i="21"/>
  <c r="E10" i="56" s="1"/>
  <c r="C10" i="21"/>
  <c r="N10" i="21"/>
  <c r="N10" i="56" s="1"/>
  <c r="L10" i="21"/>
  <c r="L10" i="56" s="1"/>
  <c r="J10" i="21"/>
  <c r="J10" i="56" s="1"/>
  <c r="H10" i="21"/>
  <c r="H10" i="56" s="1"/>
  <c r="F10" i="21"/>
  <c r="F10" i="56" s="1"/>
  <c r="D10" i="21"/>
  <c r="D10" i="56" s="1"/>
  <c r="R5" i="46"/>
  <c r="T5" i="46" s="1"/>
  <c r="F12" i="54"/>
  <c r="B21" i="56"/>
  <c r="B8" i="54"/>
  <c r="B11" i="54" s="1"/>
  <c r="B8" i="56"/>
  <c r="B16" i="56" s="1"/>
  <c r="M157" i="55"/>
  <c r="F20" i="51"/>
  <c r="F52" i="51"/>
  <c r="F58" i="51" s="1"/>
  <c r="F13" i="54"/>
  <c r="B22" i="56"/>
  <c r="N40" i="21"/>
  <c r="N42" i="21" s="1"/>
  <c r="C40" i="21"/>
  <c r="E29" i="46"/>
  <c r="Q18" i="46"/>
  <c r="B16" i="51"/>
  <c r="B17" i="51" s="1"/>
  <c r="B20" i="51" s="1"/>
  <c r="E12" i="46"/>
  <c r="E13" i="46" s="1"/>
  <c r="F20" i="54"/>
  <c r="B25" i="56"/>
  <c r="D59" i="39"/>
  <c r="D34" i="39"/>
  <c r="G22" i="39"/>
  <c r="G34" i="39" s="1"/>
  <c r="F7" i="54"/>
  <c r="F11" i="54" s="1"/>
  <c r="O379" i="55"/>
  <c r="B20" i="56"/>
  <c r="B27" i="56" s="1"/>
  <c r="B28" i="62"/>
  <c r="Q19" i="46"/>
  <c r="L23" i="21"/>
  <c r="K75" i="21"/>
  <c r="G75" i="21"/>
  <c r="L75" i="21"/>
  <c r="H75" i="21"/>
  <c r="K57" i="21"/>
  <c r="C57" i="21"/>
  <c r="C60" i="21" s="1"/>
  <c r="I93" i="21"/>
  <c r="E93" i="21"/>
  <c r="N93" i="21"/>
  <c r="J93" i="21"/>
  <c r="F93" i="21"/>
  <c r="E23" i="21"/>
  <c r="D93" i="21"/>
  <c r="M137" i="49"/>
  <c r="B6" i="46"/>
  <c r="B6" i="62" s="1"/>
  <c r="B13" i="62" s="1"/>
  <c r="R21" i="46"/>
  <c r="T21" i="46" s="1"/>
  <c r="H23" i="21"/>
  <c r="M23" i="21"/>
  <c r="G23" i="21"/>
  <c r="F85" i="51"/>
  <c r="B96" i="51"/>
  <c r="B94" i="51"/>
  <c r="C96" i="51"/>
  <c r="H20" i="21"/>
  <c r="G20" i="21"/>
  <c r="L20" i="21"/>
  <c r="D20" i="21"/>
  <c r="K20" i="21"/>
  <c r="C20" i="21"/>
  <c r="J20" i="21"/>
  <c r="F20" i="21"/>
  <c r="J23" i="21"/>
  <c r="F23" i="21"/>
  <c r="M20" i="21"/>
  <c r="I20" i="21"/>
  <c r="E20" i="21"/>
  <c r="I23" i="21"/>
  <c r="K23" i="21"/>
  <c r="C23" i="21"/>
  <c r="Q20" i="46"/>
  <c r="G20" i="51"/>
  <c r="K40" i="21"/>
  <c r="G58" i="51"/>
  <c r="J58" i="21"/>
  <c r="J60" i="21" s="1"/>
  <c r="F58" i="21"/>
  <c r="K60" i="21"/>
  <c r="G58" i="21"/>
  <c r="G60" i="21" s="1"/>
  <c r="M58" i="21"/>
  <c r="M60" i="21" s="1"/>
  <c r="E58" i="21"/>
  <c r="I57" i="21"/>
  <c r="I60" i="21" s="1"/>
  <c r="E57" i="21"/>
  <c r="E60" i="21" s="1"/>
  <c r="B60" i="21"/>
  <c r="B64" i="21" s="1"/>
  <c r="M64" i="21" s="1"/>
  <c r="M66" i="21" s="1"/>
  <c r="G20" i="54"/>
  <c r="C10" i="54"/>
  <c r="G12" i="54"/>
  <c r="G382" i="55"/>
  <c r="G16" i="31"/>
  <c r="G13" i="54"/>
  <c r="H382" i="55"/>
  <c r="G9" i="54"/>
  <c r="F382" i="55"/>
  <c r="L105" i="49"/>
  <c r="L138" i="49" s="1"/>
  <c r="L140" i="49" s="1"/>
  <c r="J158" i="55"/>
  <c r="J160" i="55" s="1"/>
  <c r="J112" i="55"/>
  <c r="K158" i="55"/>
  <c r="K160" i="55" s="1"/>
  <c r="K112" i="55"/>
  <c r="C9" i="54"/>
  <c r="G8" i="31" s="1"/>
  <c r="G9" i="31" s="1"/>
  <c r="G53" i="31" s="1"/>
  <c r="F160" i="55"/>
  <c r="C7" i="54"/>
  <c r="D160" i="55"/>
  <c r="I158" i="55"/>
  <c r="I112" i="55"/>
  <c r="C8" i="54"/>
  <c r="C160" i="55"/>
  <c r="D35" i="40"/>
  <c r="D43" i="40" s="1"/>
  <c r="G26" i="40"/>
  <c r="D90" i="40"/>
  <c r="G82" i="40"/>
  <c r="G90" i="40" s="1"/>
  <c r="B73" i="51"/>
  <c r="B74" i="51" s="1"/>
  <c r="B77" i="51" s="1"/>
  <c r="B94" i="21"/>
  <c r="L57" i="21"/>
  <c r="H57" i="21"/>
  <c r="N57" i="21"/>
  <c r="N60" i="21" s="1"/>
  <c r="J57" i="21"/>
  <c r="F57" i="21"/>
  <c r="D57" i="21"/>
  <c r="D60" i="21" s="1"/>
  <c r="D68" i="21" s="1"/>
  <c r="L64" i="21"/>
  <c r="L66" i="21" s="1"/>
  <c r="C64" i="21"/>
  <c r="C66" i="21" s="1"/>
  <c r="L60" i="21"/>
  <c r="H60" i="21"/>
  <c r="F60" i="21"/>
  <c r="J40" i="21"/>
  <c r="L40" i="21"/>
  <c r="D40" i="21"/>
  <c r="M40" i="21"/>
  <c r="I40" i="21"/>
  <c r="L39" i="21"/>
  <c r="C39" i="21"/>
  <c r="J38" i="21"/>
  <c r="H39" i="21"/>
  <c r="K38" i="21"/>
  <c r="C38" i="21"/>
  <c r="K39" i="21"/>
  <c r="M39" i="21"/>
  <c r="C16" i="51"/>
  <c r="C17" i="51" s="1"/>
  <c r="E41" i="41"/>
  <c r="L38" i="21"/>
  <c r="D38" i="21"/>
  <c r="B42" i="21"/>
  <c r="J39" i="21"/>
  <c r="F39" i="21"/>
  <c r="M38" i="21"/>
  <c r="M42" i="21" s="1"/>
  <c r="I38" i="21"/>
  <c r="G39" i="21"/>
  <c r="I39" i="21"/>
  <c r="C10" i="51"/>
  <c r="C42" i="21"/>
  <c r="M75" i="21"/>
  <c r="C75" i="21"/>
  <c r="E75" i="21"/>
  <c r="L110" i="55"/>
  <c r="C380" i="55"/>
  <c r="B19" i="54"/>
  <c r="B22" i="54" s="1"/>
  <c r="C29" i="46"/>
  <c r="R19" i="46"/>
  <c r="T19" i="46" s="1"/>
  <c r="N265" i="49"/>
  <c r="N308" i="49" s="1"/>
  <c r="N310" i="49" s="1"/>
  <c r="F308" i="49"/>
  <c r="Q265" i="49"/>
  <c r="C13" i="54"/>
  <c r="N158" i="55"/>
  <c r="M105" i="49"/>
  <c r="N138" i="49"/>
  <c r="L12" i="46"/>
  <c r="L13" i="46" s="1"/>
  <c r="D60" i="39"/>
  <c r="G60" i="39" s="1"/>
  <c r="G72" i="39" s="1"/>
  <c r="N316" i="55"/>
  <c r="G10" i="54"/>
  <c r="G15" i="54"/>
  <c r="N374" i="55"/>
  <c r="E380" i="55"/>
  <c r="D380" i="55"/>
  <c r="G37" i="31"/>
  <c r="D35" i="39"/>
  <c r="C54" i="51" s="1"/>
  <c r="C55" i="51" s="1"/>
  <c r="C58" i="51" s="1"/>
  <c r="D72" i="39"/>
  <c r="O12" i="46"/>
  <c r="O13" i="46" s="1"/>
  <c r="D83" i="40"/>
  <c r="G83" i="40" s="1"/>
  <c r="G91" i="40" s="1"/>
  <c r="G93" i="40" s="1"/>
  <c r="G71" i="40"/>
  <c r="G73" i="40" s="1"/>
  <c r="G35" i="40"/>
  <c r="G43" i="40" s="1"/>
  <c r="G45" i="40" s="1"/>
  <c r="H61" i="41"/>
  <c r="H63" i="41" s="1"/>
  <c r="F12" i="46"/>
  <c r="H35" i="41"/>
  <c r="H39" i="41" s="1"/>
  <c r="H41" i="41" s="1"/>
  <c r="E84" i="41"/>
  <c r="E86" i="41" s="1"/>
  <c r="H71" i="41"/>
  <c r="H84" i="41" s="1"/>
  <c r="H86" i="41" s="1"/>
  <c r="I13" i="46"/>
  <c r="H64" i="21" l="1"/>
  <c r="H66" i="21" s="1"/>
  <c r="H68" i="21" s="1"/>
  <c r="E64" i="21"/>
  <c r="E66" i="21" s="1"/>
  <c r="F64" i="21"/>
  <c r="F66" i="21" s="1"/>
  <c r="J64" i="21"/>
  <c r="J66" i="21" s="1"/>
  <c r="N64" i="21"/>
  <c r="N66" i="21" s="1"/>
  <c r="I64" i="21"/>
  <c r="I66" i="21" s="1"/>
  <c r="B66" i="21"/>
  <c r="B68" i="21" s="1"/>
  <c r="G64" i="21"/>
  <c r="G66" i="21" s="1"/>
  <c r="K64" i="21"/>
  <c r="K66" i="21" s="1"/>
  <c r="C69" i="21"/>
  <c r="F48" i="31"/>
  <c r="F54" i="31"/>
  <c r="F56" i="31" s="1"/>
  <c r="F58" i="31" s="1"/>
  <c r="B29" i="56"/>
  <c r="C10" i="56"/>
  <c r="N94" i="21"/>
  <c r="E94" i="21"/>
  <c r="H94" i="21"/>
  <c r="J94" i="21"/>
  <c r="F94" i="21"/>
  <c r="C94" i="21"/>
  <c r="M94" i="21"/>
  <c r="K94" i="21"/>
  <c r="L94" i="21"/>
  <c r="G94" i="21"/>
  <c r="D94" i="21"/>
  <c r="F15" i="54"/>
  <c r="F22" i="54" s="1"/>
  <c r="D42" i="21"/>
  <c r="D71" i="39"/>
  <c r="G59" i="39"/>
  <c r="G71" i="39" s="1"/>
  <c r="B54" i="51"/>
  <c r="B55" i="51" s="1"/>
  <c r="B58" i="51" s="1"/>
  <c r="K12" i="46"/>
  <c r="B76" i="21"/>
  <c r="M161" i="49"/>
  <c r="N22" i="44"/>
  <c r="N155" i="44" s="1"/>
  <c r="I68" i="21"/>
  <c r="K68" i="21"/>
  <c r="J68" i="21"/>
  <c r="M68" i="21"/>
  <c r="C68" i="21"/>
  <c r="B47" i="21"/>
  <c r="C20" i="56" s="1"/>
  <c r="E42" i="21"/>
  <c r="B8" i="21"/>
  <c r="B13" i="46"/>
  <c r="Q6" i="46"/>
  <c r="L42" i="21"/>
  <c r="G68" i="21"/>
  <c r="N68" i="21"/>
  <c r="E68" i="21"/>
  <c r="C11" i="54"/>
  <c r="R308" i="49"/>
  <c r="F310" i="49"/>
  <c r="G7" i="54"/>
  <c r="D382" i="55"/>
  <c r="G8" i="54"/>
  <c r="E382" i="55"/>
  <c r="G6" i="54"/>
  <c r="G11" i="54" s="1"/>
  <c r="G22" i="54" s="1"/>
  <c r="C382" i="55"/>
  <c r="C12" i="54"/>
  <c r="C15" i="54" s="1"/>
  <c r="I160" i="55"/>
  <c r="L158" i="55"/>
  <c r="L160" i="55" s="1"/>
  <c r="L112" i="55"/>
  <c r="C73" i="51"/>
  <c r="C74" i="51" s="1"/>
  <c r="C77" i="51" s="1"/>
  <c r="D45" i="40"/>
  <c r="L96" i="21"/>
  <c r="H96" i="21"/>
  <c r="D96" i="21"/>
  <c r="M96" i="21"/>
  <c r="K96" i="21"/>
  <c r="G96" i="21"/>
  <c r="E96" i="21"/>
  <c r="C96" i="21"/>
  <c r="B96" i="21"/>
  <c r="B101" i="21" s="1"/>
  <c r="B102" i="21" s="1"/>
  <c r="F68" i="21"/>
  <c r="L68" i="21"/>
  <c r="R29" i="46"/>
  <c r="T29" i="46" s="1"/>
  <c r="D69" i="21"/>
  <c r="E69" i="21" s="1"/>
  <c r="F69" i="21" s="1"/>
  <c r="G69" i="21" s="1"/>
  <c r="H69" i="21" s="1"/>
  <c r="I69" i="21" s="1"/>
  <c r="J69" i="21" s="1"/>
  <c r="K69" i="21" s="1"/>
  <c r="L69" i="21" s="1"/>
  <c r="M69" i="21" s="1"/>
  <c r="N69" i="21" s="1"/>
  <c r="K42" i="21"/>
  <c r="J42" i="21"/>
  <c r="G42" i="21"/>
  <c r="F42" i="21"/>
  <c r="H42" i="21"/>
  <c r="G48" i="21"/>
  <c r="I42" i="21"/>
  <c r="C20" i="51"/>
  <c r="G18" i="31"/>
  <c r="N380" i="55"/>
  <c r="N382" i="55" s="1"/>
  <c r="P380" i="55"/>
  <c r="F13" i="46"/>
  <c r="G91" i="51"/>
  <c r="G94" i="51" s="1"/>
  <c r="G96" i="51" s="1"/>
  <c r="G45" i="31"/>
  <c r="G47" i="31" s="1"/>
  <c r="G54" i="31" s="1"/>
  <c r="D91" i="40"/>
  <c r="D93" i="40" s="1"/>
  <c r="R12" i="46"/>
  <c r="F48" i="21" l="1"/>
  <c r="F50" i="21" s="1"/>
  <c r="C48" i="21"/>
  <c r="C50" i="21" s="1"/>
  <c r="B26" i="46"/>
  <c r="B26" i="21"/>
  <c r="B27" i="21" s="1"/>
  <c r="O155" i="44"/>
  <c r="N76" i="21"/>
  <c r="N78" i="21" s="1"/>
  <c r="J76" i="21"/>
  <c r="J78" i="21" s="1"/>
  <c r="F76" i="21"/>
  <c r="L76" i="21"/>
  <c r="L78" i="21" s="1"/>
  <c r="G76" i="21"/>
  <c r="G78" i="21" s="1"/>
  <c r="D76" i="21"/>
  <c r="D78" i="21" s="1"/>
  <c r="E76" i="21"/>
  <c r="E78" i="21" s="1"/>
  <c r="H76" i="21"/>
  <c r="H78" i="21" s="1"/>
  <c r="M76" i="21"/>
  <c r="M78" i="21" s="1"/>
  <c r="B78" i="21"/>
  <c r="B83" i="21" s="1"/>
  <c r="C76" i="21"/>
  <c r="I76" i="21"/>
  <c r="I78" i="21" s="1"/>
  <c r="K76" i="21"/>
  <c r="K78" i="21" s="1"/>
  <c r="M264" i="49"/>
  <c r="N161" i="49"/>
  <c r="F91" i="51"/>
  <c r="F94" i="51" s="1"/>
  <c r="F96" i="51" s="1"/>
  <c r="K13" i="46"/>
  <c r="Q12" i="46"/>
  <c r="Q13" i="46" s="1"/>
  <c r="Q15" i="46" s="1"/>
  <c r="G50" i="21"/>
  <c r="B48" i="21"/>
  <c r="B50" i="21" s="1"/>
  <c r="D20" i="56"/>
  <c r="I48" i="21"/>
  <c r="I50" i="21" s="1"/>
  <c r="H48" i="21"/>
  <c r="H50" i="21" s="1"/>
  <c r="E20" i="56"/>
  <c r="N8" i="21"/>
  <c r="C8" i="21"/>
  <c r="G8" i="21"/>
  <c r="K8" i="21"/>
  <c r="B16" i="21"/>
  <c r="D8" i="21"/>
  <c r="H8" i="21"/>
  <c r="L8" i="21"/>
  <c r="E8" i="21"/>
  <c r="I8" i="21"/>
  <c r="M8" i="21"/>
  <c r="F8" i="21"/>
  <c r="C19" i="54"/>
  <c r="C22" i="54" s="1"/>
  <c r="R31" i="46"/>
  <c r="T31" i="46" s="1"/>
  <c r="H26" i="21"/>
  <c r="E26" i="21"/>
  <c r="E27" i="21" s="1"/>
  <c r="L26" i="21"/>
  <c r="L27" i="21" s="1"/>
  <c r="K26" i="21"/>
  <c r="K27" i="21" s="1"/>
  <c r="N101" i="21"/>
  <c r="N102" i="21" s="1"/>
  <c r="L101" i="21"/>
  <c r="J101" i="21"/>
  <c r="J102" i="21" s="1"/>
  <c r="H101" i="21"/>
  <c r="F101" i="21"/>
  <c r="F102" i="21" s="1"/>
  <c r="D101" i="21"/>
  <c r="B104" i="21"/>
  <c r="M101" i="21"/>
  <c r="K101" i="21"/>
  <c r="I101" i="21"/>
  <c r="I102" i="21" s="1"/>
  <c r="G101" i="21"/>
  <c r="E101" i="21"/>
  <c r="E102" i="21" s="1"/>
  <c r="C106" i="21"/>
  <c r="E104" i="21"/>
  <c r="I96" i="21"/>
  <c r="I26" i="21"/>
  <c r="I27" i="21" s="1"/>
  <c r="F96" i="21"/>
  <c r="F104" i="21" s="1"/>
  <c r="J96" i="21"/>
  <c r="J26" i="21"/>
  <c r="J27" i="21" s="1"/>
  <c r="N96" i="21"/>
  <c r="N27" i="21"/>
  <c r="M26" i="21"/>
  <c r="M27" i="21" s="1"/>
  <c r="G26" i="21"/>
  <c r="G27" i="21" s="1"/>
  <c r="D26" i="21"/>
  <c r="D27" i="21" s="1"/>
  <c r="R13" i="46"/>
  <c r="T12" i="46"/>
  <c r="G56" i="31"/>
  <c r="C51" i="21" l="1"/>
  <c r="K102" i="21"/>
  <c r="K104" i="21" s="1"/>
  <c r="G102" i="21"/>
  <c r="G104" i="21" s="1"/>
  <c r="M102" i="21"/>
  <c r="M104" i="21" s="1"/>
  <c r="D102" i="21"/>
  <c r="D104" i="21" s="1"/>
  <c r="H102" i="21"/>
  <c r="H104" i="21" s="1"/>
  <c r="L102" i="21"/>
  <c r="L104" i="21" s="1"/>
  <c r="J16" i="21"/>
  <c r="J8" i="56"/>
  <c r="J16" i="56" s="1"/>
  <c r="F16" i="21"/>
  <c r="F8" i="56"/>
  <c r="F16" i="56" s="1"/>
  <c r="I16" i="21"/>
  <c r="I8" i="56"/>
  <c r="I16" i="56" s="1"/>
  <c r="L16" i="21"/>
  <c r="L8" i="56"/>
  <c r="L16" i="56" s="1"/>
  <c r="D16" i="21"/>
  <c r="D8" i="56"/>
  <c r="D16" i="56" s="1"/>
  <c r="K16" i="21"/>
  <c r="K8" i="56"/>
  <c r="K16" i="56" s="1"/>
  <c r="C16" i="21"/>
  <c r="C8" i="56"/>
  <c r="C16" i="56" s="1"/>
  <c r="M16" i="21"/>
  <c r="M8" i="56"/>
  <c r="M16" i="56" s="1"/>
  <c r="E16" i="21"/>
  <c r="E8" i="56"/>
  <c r="E16" i="56" s="1"/>
  <c r="H16" i="21"/>
  <c r="H8" i="56"/>
  <c r="H16" i="56" s="1"/>
  <c r="G16" i="21"/>
  <c r="G8" i="56"/>
  <c r="G16" i="56" s="1"/>
  <c r="N16" i="21"/>
  <c r="N8" i="56"/>
  <c r="N16" i="56" s="1"/>
  <c r="N29" i="56" s="1"/>
  <c r="K48" i="21"/>
  <c r="K50" i="21" s="1"/>
  <c r="E48" i="21"/>
  <c r="E50" i="21" s="1"/>
  <c r="D48" i="21"/>
  <c r="D50" i="21" s="1"/>
  <c r="J48" i="21"/>
  <c r="J50" i="21" s="1"/>
  <c r="N48" i="21"/>
  <c r="N50" i="21" s="1"/>
  <c r="M48" i="21"/>
  <c r="M50" i="21" s="1"/>
  <c r="L48" i="21"/>
  <c r="L50" i="21" s="1"/>
  <c r="B29" i="21"/>
  <c r="Q264" i="49"/>
  <c r="M307" i="49"/>
  <c r="Q307" i="49" s="1"/>
  <c r="N264" i="49"/>
  <c r="N307" i="49" s="1"/>
  <c r="C26" i="21"/>
  <c r="C27" i="21" s="1"/>
  <c r="C29" i="21" s="1"/>
  <c r="C78" i="21"/>
  <c r="F26" i="21"/>
  <c r="F27" i="21" s="1"/>
  <c r="F78" i="21"/>
  <c r="B84" i="21"/>
  <c r="B86" i="21" s="1"/>
  <c r="N83" i="21"/>
  <c r="N84" i="21" s="1"/>
  <c r="N86" i="21" s="1"/>
  <c r="J83" i="21"/>
  <c r="F83" i="21"/>
  <c r="K83" i="21"/>
  <c r="G83" i="21"/>
  <c r="C83" i="21"/>
  <c r="L83" i="21"/>
  <c r="H83" i="21"/>
  <c r="D83" i="21"/>
  <c r="M83" i="21"/>
  <c r="I83" i="21"/>
  <c r="E83" i="21"/>
  <c r="Q26" i="46"/>
  <c r="Q29" i="46" s="1"/>
  <c r="Q31" i="46" s="1"/>
  <c r="B29" i="46"/>
  <c r="H27" i="21"/>
  <c r="K29" i="21"/>
  <c r="M29" i="21"/>
  <c r="J29" i="21"/>
  <c r="I29" i="21"/>
  <c r="G29" i="21"/>
  <c r="N29" i="21"/>
  <c r="D29" i="21"/>
  <c r="F29" i="21"/>
  <c r="I104" i="21"/>
  <c r="D106" i="21"/>
  <c r="E106" i="21" s="1"/>
  <c r="F106" i="21" s="1"/>
  <c r="G106" i="21" s="1"/>
  <c r="H106" i="21" s="1"/>
  <c r="I106" i="21" s="1"/>
  <c r="J106" i="21" s="1"/>
  <c r="K106" i="21" s="1"/>
  <c r="L106" i="21" s="1"/>
  <c r="M106" i="21" s="1"/>
  <c r="N106" i="21" s="1"/>
  <c r="L29" i="21"/>
  <c r="E29" i="21"/>
  <c r="N104" i="21"/>
  <c r="J104" i="21"/>
  <c r="C31" i="21"/>
  <c r="D31" i="21" s="1"/>
  <c r="E31" i="21" s="1"/>
  <c r="F31" i="21" s="1"/>
  <c r="G31" i="21" s="1"/>
  <c r="H31" i="21" s="1"/>
  <c r="I31" i="21" s="1"/>
  <c r="J31" i="21" s="1"/>
  <c r="K31" i="21" s="1"/>
  <c r="L31" i="21" s="1"/>
  <c r="M31" i="21" s="1"/>
  <c r="N31" i="21" s="1"/>
  <c r="C104" i="21"/>
  <c r="R15" i="46"/>
  <c r="T15" i="46" s="1"/>
  <c r="T13" i="46"/>
  <c r="D51" i="21" l="1"/>
  <c r="E51" i="21" s="1"/>
  <c r="F51" i="21" s="1"/>
  <c r="G51" i="21" s="1"/>
  <c r="H51" i="21" s="1"/>
  <c r="I51" i="21" s="1"/>
  <c r="J51" i="21" s="1"/>
  <c r="K51" i="21" s="1"/>
  <c r="L51" i="21" s="1"/>
  <c r="M51" i="21" s="1"/>
  <c r="N51" i="21" s="1"/>
  <c r="H29" i="21"/>
  <c r="I84" i="21"/>
  <c r="I86" i="21" s="1"/>
  <c r="I20" i="56"/>
  <c r="I27" i="56" s="1"/>
  <c r="I29" i="56" s="1"/>
  <c r="D84" i="21"/>
  <c r="D86" i="21" s="1"/>
  <c r="D27" i="56"/>
  <c r="D29" i="56" s="1"/>
  <c r="L84" i="21"/>
  <c r="L86" i="21" s="1"/>
  <c r="L20" i="56"/>
  <c r="L27" i="56" s="1"/>
  <c r="L29" i="56" s="1"/>
  <c r="G84" i="21"/>
  <c r="G86" i="21" s="1"/>
  <c r="G20" i="56"/>
  <c r="G27" i="56" s="1"/>
  <c r="G29" i="56" s="1"/>
  <c r="F84" i="21"/>
  <c r="F20" i="56"/>
  <c r="F27" i="56" s="1"/>
  <c r="F29" i="56" s="1"/>
  <c r="F86" i="21"/>
  <c r="E84" i="21"/>
  <c r="E86" i="21" s="1"/>
  <c r="E27" i="56"/>
  <c r="E29" i="56" s="1"/>
  <c r="M84" i="21"/>
  <c r="M86" i="21" s="1"/>
  <c r="M20" i="56"/>
  <c r="M27" i="56" s="1"/>
  <c r="M29" i="56" s="1"/>
  <c r="H84" i="21"/>
  <c r="H86" i="21" s="1"/>
  <c r="H20" i="56"/>
  <c r="H27" i="56" s="1"/>
  <c r="H29" i="56" s="1"/>
  <c r="C84" i="21"/>
  <c r="C87" i="21" s="1"/>
  <c r="D87" i="21" s="1"/>
  <c r="E87" i="21" s="1"/>
  <c r="F87" i="21" s="1"/>
  <c r="G87" i="21" s="1"/>
  <c r="H87" i="21" s="1"/>
  <c r="I87" i="21" s="1"/>
  <c r="C27" i="56"/>
  <c r="K84" i="21"/>
  <c r="K86" i="21" s="1"/>
  <c r="K20" i="56"/>
  <c r="K27" i="56" s="1"/>
  <c r="K29" i="56" s="1"/>
  <c r="J84" i="21"/>
  <c r="J86" i="21" s="1"/>
  <c r="J20" i="56"/>
  <c r="J27" i="56" s="1"/>
  <c r="J29" i="56" s="1"/>
  <c r="C86" i="21"/>
  <c r="J87" i="21" l="1"/>
  <c r="K87" i="21" s="1"/>
  <c r="L87" i="21" s="1"/>
  <c r="M87" i="21" s="1"/>
  <c r="N87" i="21" s="1"/>
  <c r="C31" i="56"/>
  <c r="D31" i="56" s="1"/>
  <c r="E31" i="56" s="1"/>
  <c r="F31" i="56" s="1"/>
  <c r="G31" i="56" s="1"/>
  <c r="H31" i="56" s="1"/>
  <c r="I31" i="56" s="1"/>
  <c r="J31" i="56" s="1"/>
  <c r="K31" i="56" s="1"/>
  <c r="L31" i="56" s="1"/>
  <c r="M31" i="56" s="1"/>
  <c r="N31" i="56" s="1"/>
  <c r="C29" i="56"/>
</calcChain>
</file>

<file path=xl/comments1.xml><?xml version="1.0" encoding="utf-8"?>
<comments xmlns="http://schemas.openxmlformats.org/spreadsheetml/2006/main">
  <authors>
    <author>Bugyi Polgármesteri Hivatal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<sst xmlns="http://schemas.openxmlformats.org/spreadsheetml/2006/main" count="2561" uniqueCount="622">
  <si>
    <t>adatok ezer forintban</t>
  </si>
  <si>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</si>
  <si>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</si>
  <si>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</si>
  <si>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</si>
  <si>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</si>
  <si>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</si>
  <si>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</si>
  <si>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</si>
  <si>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</si>
  <si>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</si>
  <si>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</si>
  <si>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</si>
  <si>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</si>
  <si>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</si>
  <si>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</si>
  <si>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</si>
  <si>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</si>
  <si>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</si>
  <si>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</si>
  <si>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</si>
  <si>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</si>
  <si>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</si>
  <si>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</si>
  <si>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</si>
  <si>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</si>
  <si>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</si>
  <si>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</si>
  <si>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</si>
  <si>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</si>
  <si>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</si>
  <si>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</si>
  <si>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</si>
  <si>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</si>
  <si>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</si>
  <si>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</si>
  <si>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</si>
  <si>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</si>
  <si>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</si>
  <si>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</si>
  <si>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</si>
  <si>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</si>
  <si>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</si>
  <si>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</si>
  <si>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</si>
  <si>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</si>
  <si>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</si>
  <si>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</si>
  <si>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</si>
  <si>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</si>
  <si>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</si>
  <si>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</si>
  <si>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</si>
  <si>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</si>
  <si>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</si>
  <si>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</si>
  <si>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</si>
  <si>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</si>
  <si>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</si>
  <si>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</si>
  <si>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</si>
  <si>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</si>
  <si>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</si>
  <si>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</si>
  <si>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</si>
  <si>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</si>
  <si>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</si>
  <si>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</si>
  <si>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</si>
  <si>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</si>
  <si>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</si>
  <si>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</si>
  <si>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</si>
  <si>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</si>
  <si>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</si>
  <si>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</si>
  <si>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Szociális étkeztetés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</si>
  <si>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</si>
  <si>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</si>
  <si>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</si>
  <si>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</si>
  <si>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</si>
  <si>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</si>
  <si>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</si>
  <si>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</si>
  <si>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</si>
  <si>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>Általános tartalék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</si>
  <si>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</si>
  <si>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</si>
  <si>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</si>
  <si>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</si>
  <si>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</si>
  <si>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</si>
  <si>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</si>
  <si>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</si>
  <si>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Szakfeladat megnevezése</t>
  </si>
  <si>
    <t>Szakfeladat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</si>
  <si>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</si>
  <si>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</si>
  <si>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</si>
  <si>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</si>
  <si>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</si>
  <si>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</si>
  <si>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</si>
  <si>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</si>
  <si>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</si>
  <si>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</si>
  <si>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</si>
  <si>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</si>
  <si>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</si>
  <si>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</si>
  <si>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</si>
  <si>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</si>
  <si>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</si>
  <si>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</si>
  <si>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</si>
  <si>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Adó, illeték kiszabása, beszedése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</si>
  <si>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</si>
  <si>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</si>
  <si>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</si>
  <si>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</si>
  <si>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</si>
  <si>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</si>
  <si>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</si>
  <si>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</si>
  <si>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</si>
  <si>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</si>
  <si>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</si>
  <si>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</si>
  <si>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</si>
  <si>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</si>
  <si>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</si>
  <si>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</si>
  <si>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</si>
  <si>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</si>
  <si>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</si>
  <si>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</si>
  <si>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</si>
  <si>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</si>
  <si>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</si>
  <si>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</si>
  <si>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</si>
  <si>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</si>
  <si>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</si>
  <si>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</si>
  <si>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</si>
  <si>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</si>
  <si>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</si>
  <si>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</si>
  <si>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Orvosi ügyelethez garázs építés</t>
  </si>
  <si>
    <t>Lakossági járdaépítések önkormányzati támogatással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</si>
  <si>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</si>
  <si>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</si>
  <si>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</si>
  <si>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</si>
  <si>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</si>
  <si>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</si>
  <si>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</si>
  <si>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</si>
  <si>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</si>
  <si>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</si>
  <si>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</si>
  <si>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>2013. év</t>
  </si>
  <si>
    <t>2016. év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</si>
  <si>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</si>
  <si>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</si>
  <si>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</si>
  <si>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</si>
  <si>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</si>
  <si>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</si>
  <si>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</si>
  <si>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</si>
  <si>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</si>
  <si>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</si>
  <si>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</si>
  <si>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</si>
  <si>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</si>
  <si>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</si>
  <si>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</si>
  <si>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Bugyi Viziközmű-társulat hitele utáni készfizető kezesség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</si>
  <si>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</si>
  <si>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</si>
  <si>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</si>
  <si>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</si>
  <si>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</si>
  <si>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</si>
  <si>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</si>
  <si>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</si>
  <si>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</si>
  <si>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Bugyi Nagyközség Önkormányzatának a Stabilitási törvény 3. § (1) bekezdése szerinti 
adósságot keletkeztető ügyletekből és
kezességvállalásból fennálló kötelezettségei</t>
  </si>
  <si>
    <t>Kezességvállalás időpontja</t>
  </si>
  <si>
    <t>Kezességvállalás érvényesíthetősége</t>
  </si>
  <si>
    <t>Közhatalmi bevételek</t>
  </si>
  <si>
    <t>Bessenyei Gy. Műv Ház és
Könyvtár "IKSZT"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</si>
  <si>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</si>
  <si>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</si>
  <si>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</si>
  <si>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  a helyi adóból származó bevétel,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</si>
  <si>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</si>
  <si>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</si>
  <si>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</si>
  <si>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</si>
  <si>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</si>
  <si>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</si>
  <si>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</si>
  <si>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</si>
  <si>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</si>
  <si>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</si>
  <si>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</si>
  <si>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</si>
  <si>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</si>
  <si>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</si>
  <si>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</si>
  <si>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</si>
  <si>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Bessenyei György Művelődési Ház és Könyvtár "IKSZT"</t>
  </si>
  <si>
    <t>Bugyi Nagyk. Önk. Településfejl.-ellátási és üz. Szerv</t>
  </si>
  <si>
    <t>Költségvetési kiadások összesen.</t>
  </si>
  <si>
    <t>2631/2011</t>
  </si>
  <si>
    <t>Szerződés iktató száma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</si>
  <si>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</si>
  <si>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</si>
  <si>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</si>
  <si>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</si>
  <si>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</si>
  <si>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</si>
  <si>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</si>
  <si>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</si>
  <si>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</si>
  <si>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Központosított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</si>
  <si>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</si>
  <si>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</si>
  <si>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</si>
  <si>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</si>
  <si>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</si>
  <si>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</si>
  <si>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</si>
  <si>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</si>
  <si>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</si>
  <si>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</si>
  <si>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</si>
  <si>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</si>
  <si>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</si>
  <si>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</si>
  <si>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</si>
  <si>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</si>
  <si>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011220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</si>
  <si>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</si>
  <si>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</si>
  <si>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</si>
  <si>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</si>
  <si>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</si>
  <si>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</si>
  <si>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</si>
  <si>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Kormnyzati funkció megnevezése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</si>
  <si>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</si>
  <si>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</si>
  <si>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</si>
  <si>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</si>
  <si>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</si>
  <si>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</si>
  <si>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</si>
  <si>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</si>
  <si>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</si>
  <si>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</si>
  <si>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</si>
  <si>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</si>
  <si>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</si>
  <si>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</si>
  <si>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</si>
  <si>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</si>
  <si>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</si>
  <si>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</si>
  <si>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</si>
  <si>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</si>
  <si>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</si>
  <si>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</si>
  <si>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072311</t>
  </si>
  <si>
    <t>Fogorvosi alapellátás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</si>
  <si>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</si>
  <si>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</si>
  <si>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</si>
  <si>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</si>
  <si>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</si>
  <si>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</si>
  <si>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</si>
  <si>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</si>
  <si>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</si>
  <si>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105010</t>
  </si>
  <si>
    <t>Munkanélküliek aktív korúak ellátása</t>
  </si>
  <si>
    <t>106020</t>
  </si>
  <si>
    <t>Lakáfenntartási ellátások</t>
  </si>
  <si>
    <t>107051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</si>
  <si>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</si>
  <si>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</si>
  <si>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</si>
  <si>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</si>
  <si>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</si>
  <si>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</si>
  <si>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</si>
  <si>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900070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</si>
  <si>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</si>
  <si>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</si>
  <si>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</si>
  <si>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</si>
  <si>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</si>
  <si>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</si>
  <si>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</si>
  <si>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</si>
  <si>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</si>
  <si>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</si>
  <si>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</si>
  <si>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</si>
  <si>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</si>
  <si>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091220</t>
  </si>
  <si>
    <t>1-4 évf működtetési feladatok</t>
  </si>
  <si>
    <t>091250</t>
  </si>
  <si>
    <t>alapfokú műv. Okt. műk feladatok</t>
  </si>
  <si>
    <t>092120</t>
  </si>
  <si>
    <t>5-8 év, működtetési feladatok</t>
  </si>
  <si>
    <t xml:space="preserve">076090 </t>
  </si>
  <si>
    <t>Egyéb eü-i szolg támogatása</t>
  </si>
  <si>
    <t>08143</t>
  </si>
  <si>
    <t>Iskolai, diáksport tev. Támogatása</t>
  </si>
  <si>
    <t>Város és községgazd fel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</si>
  <si>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</si>
  <si>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</si>
  <si>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</si>
  <si>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</si>
  <si>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</si>
  <si>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</si>
  <si>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</si>
  <si>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</si>
  <si>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</si>
  <si>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</si>
  <si>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</si>
  <si>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</si>
  <si>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</si>
  <si>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</si>
  <si>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</si>
  <si>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</si>
  <si>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</si>
  <si>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</si>
  <si>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</si>
  <si>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</si>
  <si>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</si>
  <si>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</si>
  <si>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</si>
  <si>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</si>
  <si>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</si>
  <si>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</si>
  <si>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</si>
  <si>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</si>
  <si>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</si>
  <si>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</si>
  <si>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</si>
  <si>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</si>
  <si>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</si>
  <si>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</si>
  <si>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</si>
  <si>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</si>
  <si>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</si>
  <si>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2017. év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</si>
  <si>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</si>
  <si>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</si>
  <si>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</si>
  <si>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</si>
  <si>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</si>
  <si>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</si>
  <si>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</si>
  <si>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</si>
  <si>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t>Bevételek irányító szervi támogatással korrigált összege</t>
  </si>
  <si>
    <t>Kiadások irányító szervi támogatással korrigált összege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</si>
  <si>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</si>
  <si>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</si>
  <si>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</si>
  <si>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</si>
  <si>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</si>
  <si>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</si>
  <si>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</si>
  <si>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t xml:space="preserve">  Amatőr Sportegyesület működéséhez támogatás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</si>
  <si>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</si>
  <si>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</si>
  <si>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</si>
  <si>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</si>
  <si>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</si>
  <si>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</si>
  <si>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</si>
  <si>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 xml:space="preserve">  </t>
    </r>
    <r>
      <rPr>
        <sz val="10"/>
        <rFont val="MS Sans Serif"/>
        <family val="2"/>
        <charset val="238"/>
      </rPr>
      <t>(2) A Stabilitási törvény hatályba lépését megelőzően vállalt kezességvállalásból eredő kötelezettségek</t>
    </r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</si>
  <si>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</si>
  <si>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</si>
  <si>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</si>
  <si>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</si>
  <si>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</si>
  <si>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</si>
  <si>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</si>
  <si>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</si>
  <si>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</si>
  <si>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</si>
  <si>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</si>
  <si>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</si>
  <si>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</si>
  <si>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</si>
  <si>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</si>
  <si>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</si>
  <si>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</si>
  <si>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</si>
  <si>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</si>
  <si>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</si>
  <si>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</si>
  <si>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</si>
  <si>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</si>
  <si>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</si>
  <si>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</si>
  <si>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Eredeti előiránzyat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</si>
  <si>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</si>
  <si>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</si>
  <si>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</si>
  <si>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</si>
  <si>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</si>
  <si>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 xml:space="preserve"> -társadalom és szociálpolitikai ellátások</t>
  </si>
  <si>
    <t>Felhalmozási célú támogatások</t>
  </si>
  <si>
    <t>Önk.igazg.tevékenysége</t>
  </si>
  <si>
    <t>Önk.igazgatási tevékenysége</t>
  </si>
  <si>
    <t>Átvett pénzeszköz</t>
  </si>
  <si>
    <t>fedett kerékpártároló</t>
  </si>
  <si>
    <t>nagykapu+elektromos nyitórendszer</t>
  </si>
  <si>
    <t>096015</t>
  </si>
  <si>
    <t>Gyermekétkeztetés köznev. Intézményben</t>
  </si>
  <si>
    <t>légkondicionáló berendezés vásárlás</t>
  </si>
  <si>
    <t>beépített szekrények iskola épületbe</t>
  </si>
  <si>
    <t>TEFÜSZ részére hegesztő, pajzs vásárlás</t>
  </si>
  <si>
    <t>TEFÜSZ részére betonfúró vásárlás</t>
  </si>
  <si>
    <t>Maradvány</t>
  </si>
  <si>
    <t>Gyermekétkeztetés köznevelési int.</t>
  </si>
  <si>
    <t>Gyermekétk.köznev. Intben</t>
  </si>
  <si>
    <t>mezőőri járulék</t>
  </si>
  <si>
    <t>Bugyi Sportegyesület görpálya kialakításához átadott visszatérítendő támogatás fennmaradó része</t>
  </si>
  <si>
    <t>3 db önkormányzati telek értékesítése</t>
  </si>
  <si>
    <t>Széchenyi tér 10 szám alatti lakás értékesítése</t>
  </si>
  <si>
    <t>Finanszírozási bevétel értékpapírbl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</si>
  <si>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</si>
  <si>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</si>
  <si>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</si>
  <si>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</si>
  <si>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Kossuth L. utca 17. fűtés szabályozás, rendszer szétválasztása</t>
  </si>
  <si>
    <t>Puskás T.u. rendelő felújítása</t>
  </si>
  <si>
    <t>Ravatalozó előtető készítése</t>
  </si>
  <si>
    <t>Lakossági ároképítésekhez térkő biztosítása</t>
  </si>
  <si>
    <t>Új utcákba járda összekötések kialakítása</t>
  </si>
  <si>
    <t>TEFÜSZ iroda tetőszerkezetének felújítása</t>
  </si>
  <si>
    <t>Széchenyi tér 5. és 6. sz.ház közötti járda kialakítása</t>
  </si>
  <si>
    <t xml:space="preserve">Óvoda épületekre 6 db előtető </t>
  </si>
  <si>
    <t>Napraforgó óvoda járda térkövezés, megemelése, átemelő szivattyú elé derítő telepítése</t>
  </si>
  <si>
    <t>buszmegállókba várótermek kialakítása</t>
  </si>
  <si>
    <t>Kazinczy Iskola hátsó aszfaltút felújítása</t>
  </si>
  <si>
    <t>Hivatal és egészségház fűtés szabályozás, rendszer szétválasztása</t>
  </si>
  <si>
    <t>Fényképezőgép+kártya vásárlás</t>
  </si>
  <si>
    <t xml:space="preserve">  KDV 2015. évi mük. Hozzájárulás</t>
  </si>
  <si>
    <t xml:space="preserve">  Rákóczi Szövetség működéséhez támogatás</t>
  </si>
  <si>
    <t xml:space="preserve"> Ócsai Mozgáskorlátozottak Egyesülete parasportnapok támogatása</t>
  </si>
  <si>
    <t>Gyermekétk.köznev.int.</t>
  </si>
  <si>
    <t>Értékpapír befektetés</t>
  </si>
  <si>
    <t>Önkormányzati költségvetési hiány:</t>
  </si>
  <si>
    <t>2014.év</t>
  </si>
  <si>
    <t>2015.év</t>
  </si>
  <si>
    <t>Kezességvállalás kezdő összege.</t>
  </si>
  <si>
    <t>2018. év</t>
  </si>
  <si>
    <t>Lekötött bankbetétek megszüntetése</t>
  </si>
  <si>
    <t>Működési célú és kiegészítő támogatások</t>
  </si>
  <si>
    <t xml:space="preserve"> -közszférában fogl.2015.évi bérkompenzációja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</si>
  <si>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</si>
  <si>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</si>
  <si>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</si>
  <si>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</si>
  <si>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</si>
  <si>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</si>
  <si>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</si>
  <si>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</si>
  <si>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</si>
  <si>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</si>
  <si>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</si>
  <si>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</si>
  <si>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</si>
  <si>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</si>
  <si>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</si>
  <si>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</si>
  <si>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</si>
  <si>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</si>
  <si>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r>
      <t xml:space="preserve">   </t>
    </r>
    <r>
      <rPr>
        <sz val="12"/>
        <rFont val="MS Sans Serif"/>
        <family val="2"/>
        <charset val="238"/>
      </rPr>
      <t>Bugyi SE. TAO pályázat önrész</t>
    </r>
  </si>
  <si>
    <t>Lakásfenntartási támogatások</t>
  </si>
  <si>
    <t>Gyermekvédelmi támogatások</t>
  </si>
  <si>
    <t>Hosszabb időtart. Közfoglalkoztatás</t>
  </si>
  <si>
    <t>Óvodai nev.,ell.szakmai feladatai</t>
  </si>
  <si>
    <t>Óvodai nev.,ell. működési feladatai</t>
  </si>
  <si>
    <t>Munkanélk.,aktív korúak ellátása</t>
  </si>
  <si>
    <t>Közművelődési intézmény</t>
  </si>
  <si>
    <t>Államigazgatási feladatokhoz kapcsolódó költségvetési bevétel összesen</t>
  </si>
  <si>
    <t>Telj. %-ban</t>
  </si>
  <si>
    <t>Teljesítés %-ban</t>
  </si>
  <si>
    <t>Műk.célra átvett pénzeszköz</t>
  </si>
  <si>
    <t>016010</t>
  </si>
  <si>
    <t>Orszgyűl, önkorm.és eu. Választások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</si>
  <si>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</si>
  <si>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</si>
  <si>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</si>
  <si>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</si>
  <si>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</si>
  <si>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</si>
  <si>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</si>
  <si>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</si>
  <si>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Orszgy, önkorm. És eu vál.</t>
  </si>
  <si>
    <t>Működési célra átvett pénzeszköz</t>
  </si>
  <si>
    <t>Működési célra átvett péneszk.</t>
  </si>
  <si>
    <t>Működési célra átvett péneszközök</t>
  </si>
  <si>
    <t>Bugyi Nagyközség Önkormányzatának és az általa irányított költségvetési szervek 2016. évi bevételei és kiadásai (adatok ezer forintban)</t>
  </si>
  <si>
    <t>Bugyi Nagyközség Önkormányzatának 2016. évi összesített kötelező, önként vállalt és államigazgatási 
feladatok bevételek és kiadások részletezése (adatok ezer forintban)</t>
  </si>
  <si>
    <t>Bugyi Nagyközség Önkormányzatának 2016. évi összesített költségvetési mérlege
 (adatok ezer forintban)</t>
  </si>
  <si>
    <t>Bugyi Nagyközség Önkormányzat és az általa irányított költségvetési szervek 2016. évi öszesített költségvetésének előirányzat-felhasználási  ütemterve (adatok ezer forintban)</t>
  </si>
  <si>
    <t>Bugyi Nagyközség Önkormányzatának 2016. évi bevételei (adatok ezer forintban)</t>
  </si>
  <si>
    <t>Bugyi Nagyközség Önkormányzatának 2016. évi  bevételeinek részletezése (adatok ezer forintban)</t>
  </si>
  <si>
    <t>Bugyi Nagyközség Önkormányzat 2016. évi költségvetési támogatásának kimutatása (adatok ezer forintban)</t>
  </si>
  <si>
    <t>Bugyi Nagyközség Önkormányzatának 2016. évi kiadásai (adatok ezer forintban)</t>
  </si>
  <si>
    <t xml:space="preserve"> Bugyi Nagyközség Önkormányzat 2016. évi beruházási és felújítási kiadásai (adatok ezer forintban)</t>
  </si>
  <si>
    <t>Bugyi Nagyközség Önkormányzat 2016. évi átadott pénzeszközei, támogatásai (adatok ezer forintban)</t>
  </si>
  <si>
    <t>Bugyi Nagyközség Önkormányzatának 2016. évi kötelező, önként vállalt és államigazgatási 
feladatok bevételek és kiadások részletezése (adatok ezer forintban)</t>
  </si>
  <si>
    <t>Bugyi Nagyközségi Önkormányzat működési és felhalmozási célú bevételek és kiadások előirányzata 2016. évben (adatok ezer forintban)</t>
  </si>
  <si>
    <t>Bugyi Nagyközség Önkormányzatának 2016. évi közvetett támogatásai (adatok ezer forintban)</t>
  </si>
  <si>
    <t>Bugyi Nagyközség Önkormányzat 2016. évi költségvetésének  több éves kihatással járó kiadásainak részletezése                      (adatok ezer forintban)</t>
  </si>
  <si>
    <t>2019. év</t>
  </si>
  <si>
    <t>Bugyi Nagyközség Önkormányzat és az általa irányított költségvetési szervek 2016. évi létszámkerete költségvetési szervenkénti bontással</t>
  </si>
  <si>
    <t>Bugyi Nagyközség Önkormányzat által irányított költségvetési szervek által foglalkoztatott közfoglalkoztatottak 2016. évi létszáma 
költségvetési szervenkénti bontással</t>
  </si>
  <si>
    <t>Bugyi Nagyközségi Polgármesteri Hivatal 2016. évi  bevételeinek és kiadásainak részletezése (adatok ezer forintban)</t>
  </si>
  <si>
    <t>Bugyi Nagyközségi Polgármesteri Hivatal 2016. évi  kötelező, önként vállalt és államigazgatási bevételeinek és kiadásainak részletezése (adatok ezer forintban)</t>
  </si>
  <si>
    <t xml:space="preserve"> Bugyi Nagyközségi Polgármesteri Hivatal 2016. évi beruházási és felújítási kiadásai (adatok ezer forintban)</t>
  </si>
  <si>
    <t xml:space="preserve"> Napköziotthonos Óvoda 2016. évi beruházási és felújítási kiadásai (adatok ezer forintban)</t>
  </si>
  <si>
    <t>Bessenyei György Művelődési Ház és Könyvtár "IKSZT"
 2016. évi  bevételeinek és kiadásainak részletezése (adatok ezer forintban)</t>
  </si>
  <si>
    <t>Bugyi Nagyközségi Napköziotthonos Óvoda 2016. évi  bevételeinek és kiadásainak részletezése (adatok ezer forintban)</t>
  </si>
  <si>
    <t>Bugyi Nagyközségi Napköziotthonos Óvoda 2016. évi  kötelező, önként vállalt és államigazgatási feladataihoz kapcsolódó bevételeinek és kiadásainak részletezése (adatok ezer forintban)</t>
  </si>
  <si>
    <t>Bessenyei György Művelődési Ház és Könyvtár "IKSZT"
 2016. évi  kötelező, önként vállalt és államigazgatási feladatokhoz kapcsolódó bevételeinek és kiadásainak részletezése (adatok ezer forintban)</t>
  </si>
  <si>
    <t xml:space="preserve"> Bessenyei György Művelődési Ház és Könyvtár 2016. évi beruházási és felújítási kiadásai (adatok ezer forintban)</t>
  </si>
  <si>
    <t>Településfejlesztési-ellátási és Üzemeltetési Szerv 2016. évi  bevételeinek és kiadásainak részletezése (adatok ezer forintban)</t>
  </si>
  <si>
    <t>Településfejlesztési-ellátási és Üzemeltetési Szerv 2016. évi  kötelező, önként vállalt és államigazgatási feladatok bevételeinek és kiadásainak részletezése (adatok ezer forintban)</t>
  </si>
  <si>
    <t xml:space="preserve"> Településfejlesztési-ellátási és Üzemeltetési Szerv 2016. évi beruházási és felújítási kiadásai (adatok ezer forintban)</t>
  </si>
  <si>
    <t>Bugyi Nagyközség Önkormányzat és az általa irányított költségvetési szervek 2016. évi költségvetésének előirányzat-felhasználási  ütemterve (adatok ezer forintban)</t>
  </si>
  <si>
    <t>Bugyi Nagyközség Önkormányzatának 2016. évi költségvetési mérlege
 (adatok ezer forintban)</t>
  </si>
  <si>
    <t>Önkormányzat költségvetési évet követő három év tervezett bevételi és kiadási előirányzatai ( adatok e Ft-ban)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</si>
  <si>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</si>
  <si>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</si>
  <si>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</si>
  <si>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</si>
  <si>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2017.</t>
  </si>
  <si>
    <t>2018.</t>
  </si>
  <si>
    <t>2019.</t>
  </si>
  <si>
    <t>udvari fészekhinta állvánnyal</t>
  </si>
  <si>
    <t>udvari csúszdás toronyjáték</t>
  </si>
  <si>
    <t>Kisértékű tárgyi eszközök:</t>
  </si>
  <si>
    <t xml:space="preserve"> -folyékony szappanadagolók</t>
  </si>
  <si>
    <t xml:space="preserve"> -WC ülőkék</t>
  </si>
  <si>
    <t xml:space="preserve"> -6 db irodai szék</t>
  </si>
  <si>
    <t xml:space="preserve"> -2 db mosógép</t>
  </si>
  <si>
    <t xml:space="preserve"> -1 db hűtőszekrény</t>
  </si>
  <si>
    <t xml:space="preserve"> -3 db projektor</t>
  </si>
  <si>
    <t xml:space="preserve"> -2 db nyomtató</t>
  </si>
  <si>
    <t xml:space="preserve"> -tálaló szekrény</t>
  </si>
  <si>
    <t xml:space="preserve"> -egyéb eszközök</t>
  </si>
  <si>
    <t>kisértékű tárgyi eszközök</t>
  </si>
  <si>
    <t>fedett kerékpártároló iskolába</t>
  </si>
  <si>
    <t>TEFÜSZ részére melegvizes mosó</t>
  </si>
  <si>
    <t>Ford Transit ülés</t>
  </si>
  <si>
    <t>velux árnyékolók iskola épületre</t>
  </si>
  <si>
    <t>tűzálló páncélszekrény iratoknak iskola</t>
  </si>
  <si>
    <t>Szennyvíztisztító telep felújítás önerő</t>
  </si>
  <si>
    <t>Temetőbe illemhely kialakítása</t>
  </si>
  <si>
    <t>Iskola kazánáz, régi szárny falának szigetelése, színezése</t>
  </si>
  <si>
    <t>ABC parkoló, Deák F.u., Új u., Vány és Ürbő bejáró, buszforduló aszfaltozása</t>
  </si>
  <si>
    <t>Műfüves sportpálya kerítés felújítása</t>
  </si>
  <si>
    <t>Lakótelepi óvoda homlokzatának felújítása</t>
  </si>
  <si>
    <t xml:space="preserve">Óvodai udvarokban vízelvezetés </t>
  </si>
  <si>
    <t>Bugyi 01601/10,12.hrsz erdőtelepítés /2016.évi rész/</t>
  </si>
  <si>
    <t>Csobogó átalakítása, rekonstrukciója</t>
  </si>
  <si>
    <t>Új telkek közművesítése</t>
  </si>
  <si>
    <t>Kossuth L.u.28. átalakítása</t>
  </si>
  <si>
    <t>Orvosi ügyeletre klíma szerelése</t>
  </si>
  <si>
    <t xml:space="preserve">Bölcsöde épület </t>
  </si>
  <si>
    <t>raktárkonténer vásárlás</t>
  </si>
  <si>
    <t>Bajcsy u. gyalogátkelő hely kialakítása</t>
  </si>
  <si>
    <t>Sárrázók kialakítása murvás szervízút feljárókkal</t>
  </si>
  <si>
    <t>önkormányzat egyéb kisértékű tárgyi eszközök</t>
  </si>
  <si>
    <t xml:space="preserve"> -köznevelési int. működtetéséhez kapcsolódó tám.</t>
  </si>
  <si>
    <t xml:space="preserve"> Bocskai ref. kisbusz támogatás</t>
  </si>
  <si>
    <t xml:space="preserve">  Dabas és Környéke Mentőorvosi Mentőtiszti Kocsi Nonprofit Kft.         egyszeri támogatás</t>
  </si>
  <si>
    <t xml:space="preserve">  Bugyi SE. Sportcsarnok kiviteli tervek</t>
  </si>
  <si>
    <t xml:space="preserve">  Bugyi SE. Sportcsarnok építés önrész</t>
  </si>
  <si>
    <t>104037</t>
  </si>
  <si>
    <t>Int. kívüli gyermekétkeztetés</t>
  </si>
  <si>
    <t>Int.kívüli gyermekétkeztetés</t>
  </si>
  <si>
    <t>közcélú munka támogatása</t>
  </si>
  <si>
    <t>IKSZT működési támogatás</t>
  </si>
  <si>
    <t>081043</t>
  </si>
  <si>
    <t>Bölcsöde épület támogatása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</si>
  <si>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</si>
  <si>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</si>
  <si>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</si>
  <si>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</si>
  <si>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083/22.hrsz. 6000 nm2 értékesítése</t>
  </si>
  <si>
    <t>sötétítő roletták homlokzati ablakokra</t>
  </si>
  <si>
    <t>színpadi led lámpák 4 db</t>
  </si>
  <si>
    <t xml:space="preserve"> Spartacus SE. Kosovics gyerekek nyári tábor</t>
  </si>
  <si>
    <t>védőnők egyéb  kisértékű tárgyi eszközök</t>
  </si>
  <si>
    <t>iskola kisértékű tárgyi eszközök</t>
  </si>
  <si>
    <t>Önkormányzatok elsz. a kp.ktgvet.szerveikkel</t>
  </si>
  <si>
    <t>Önkormányzatok elszám. Kp.-i ktgv. szervezeteivel</t>
  </si>
  <si>
    <t>Előző évek maradványának igénybevételével:</t>
  </si>
  <si>
    <t>A Stabilitási törvény 45. § (1) bekezdése alapján kiadott felhatalmazás szerint a 353/2011. (XII.30.) korm rendelet szerinti 
saját bevétel 50%a : 286981</t>
  </si>
  <si>
    <t>Egyéb működési célú kiadások(átadott pénzeszk)</t>
  </si>
  <si>
    <t>Egyéb felhalmozási célú kiadások(átadott pénzeszk)</t>
  </si>
  <si>
    <t>1 db térfigyelő kamera lakótelepi játszótérre</t>
  </si>
  <si>
    <t xml:space="preserve"> Révfülöpi tábor működési támogatás</t>
  </si>
  <si>
    <t>Kezességvállalás 2015.12.31. összege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</si>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</sst>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#,##0\ _F_t"/>
  </numFmts>
  <fonts count="94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8.5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6"/>
      <name val="MS Sans Serif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"/>
      <name val="Arial CE"/>
      <charset val="238"/>
    </font>
    <font>
      <b/>
      <sz val="7"/>
      <name val="MS Sans Serif"/>
      <family val="2"/>
      <charset val="238"/>
    </font>
    <font>
      <sz val="10"/>
      <color indexed="8"/>
      <name val="Calibri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</font>
    <font>
      <sz val="8"/>
      <name val="MS Sans Serif"/>
      <family val="2"/>
      <charset val="238"/>
    </font>
    <font>
      <sz val="10"/>
      <name val="Helvetica"/>
      <charset val="238"/>
    </font>
    <font>
      <sz val="11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indexed="8"/>
      <name val="MS Sans Serif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0" borderId="0"/>
    <xf numFmtId="0" fontId="10" fillId="0" borderId="0"/>
    <xf numFmtId="44" fontId="2" fillId="0" borderId="0" applyNumberFormat="0" applyFont="0" applyFill="0" applyBorder="0" applyAlignment="0" applyProtection="0"/>
  </cellStyleXfs>
  <cellXfs count="2039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5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2" fillId="0" borderId="0" xfId="0" applyFont="1" applyBorder="1"/>
    <xf numFmtId="0" fontId="16" fillId="2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42" fontId="20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5" fontId="0" fillId="0" borderId="0" xfId="0" applyNumberFormat="1" applyBorder="1"/>
    <xf numFmtId="165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0" fontId="7" fillId="0" borderId="0" xfId="0" applyFont="1" applyBorder="1"/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left"/>
    </xf>
    <xf numFmtId="0" fontId="15" fillId="0" borderId="0" xfId="0" applyFont="1" applyBorder="1"/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8" fillId="0" borderId="14" xfId="0" applyFont="1" applyBorder="1"/>
    <xf numFmtId="0" fontId="38" fillId="0" borderId="14" xfId="0" applyFont="1" applyBorder="1" applyAlignment="1">
      <alignment wrapText="1"/>
    </xf>
    <xf numFmtId="164" fontId="40" fillId="0" borderId="0" xfId="5" applyNumberFormat="1" applyFont="1" applyFill="1" applyBorder="1" applyAlignment="1">
      <alignment horizontal="center"/>
    </xf>
    <xf numFmtId="164" fontId="41" fillId="0" borderId="4" xfId="5" applyNumberFormat="1" applyFont="1" applyBorder="1" applyAlignment="1">
      <alignment horizontal="center" vertical="center" wrapText="1"/>
    </xf>
    <xf numFmtId="0" fontId="40" fillId="0" borderId="28" xfId="0" applyFont="1" applyBorder="1" applyAlignment="1">
      <alignment wrapText="1"/>
    </xf>
    <xf numFmtId="164" fontId="40" fillId="0" borderId="0" xfId="5" applyNumberFormat="1" applyFont="1" applyBorder="1" applyAlignment="1">
      <alignment horizontal="center"/>
    </xf>
    <xf numFmtId="0" fontId="40" fillId="0" borderId="28" xfId="0" applyFont="1" applyBorder="1"/>
    <xf numFmtId="0" fontId="44" fillId="0" borderId="0" xfId="0" applyFont="1"/>
    <xf numFmtId="0" fontId="36" fillId="0" borderId="0" xfId="0" applyFont="1"/>
    <xf numFmtId="0" fontId="35" fillId="0" borderId="0" xfId="0" applyFont="1"/>
    <xf numFmtId="0" fontId="45" fillId="0" borderId="0" xfId="0" applyFont="1"/>
    <xf numFmtId="0" fontId="46" fillId="0" borderId="0" xfId="0" applyFont="1"/>
    <xf numFmtId="164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166" fontId="7" fillId="0" borderId="2" xfId="0" applyNumberFormat="1" applyFont="1" applyBorder="1"/>
    <xf numFmtId="166" fontId="0" fillId="0" borderId="2" xfId="0" applyNumberFormat="1" applyBorder="1"/>
    <xf numFmtId="166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0" fillId="0" borderId="0" xfId="0" applyAlignment="1"/>
    <xf numFmtId="0" fontId="21" fillId="0" borderId="0" xfId="0" applyFont="1" applyFill="1" applyBorder="1" applyAlignment="1">
      <alignment horizontal="left"/>
    </xf>
    <xf numFmtId="0" fontId="41" fillId="0" borderId="4" xfId="0" applyFont="1" applyBorder="1" applyAlignment="1">
      <alignment horizontal="center" vertical="center"/>
    </xf>
    <xf numFmtId="0" fontId="51" fillId="0" borderId="0" xfId="0" applyFont="1" applyFill="1" applyBorder="1"/>
    <xf numFmtId="0" fontId="51" fillId="0" borderId="0" xfId="0" applyFont="1"/>
    <xf numFmtId="0" fontId="51" fillId="0" borderId="0" xfId="0" applyFont="1" applyBorder="1"/>
    <xf numFmtId="0" fontId="53" fillId="0" borderId="0" xfId="0" applyFont="1" applyBorder="1"/>
    <xf numFmtId="0" fontId="52" fillId="0" borderId="30" xfId="0" applyFont="1" applyBorder="1"/>
    <xf numFmtId="0" fontId="50" fillId="0" borderId="0" xfId="0" applyFont="1" applyBorder="1"/>
    <xf numFmtId="42" fontId="50" fillId="0" borderId="0" xfId="0" applyNumberFormat="1" applyFont="1" applyBorder="1"/>
    <xf numFmtId="0" fontId="50" fillId="0" borderId="0" xfId="0" applyFont="1"/>
    <xf numFmtId="0" fontId="52" fillId="0" borderId="0" xfId="0" applyFont="1" applyFill="1" applyBorder="1"/>
    <xf numFmtId="0" fontId="54" fillId="0" borderId="0" xfId="0" applyFont="1" applyFill="1" applyBorder="1"/>
    <xf numFmtId="165" fontId="54" fillId="0" borderId="0" xfId="0" applyNumberFormat="1" applyFont="1" applyBorder="1"/>
    <xf numFmtId="0" fontId="52" fillId="0" borderId="31" xfId="0" applyFont="1" applyBorder="1"/>
    <xf numFmtId="0" fontId="54" fillId="0" borderId="32" xfId="0" applyFont="1" applyBorder="1"/>
    <xf numFmtId="0" fontId="54" fillId="0" borderId="0" xfId="0" applyFont="1" applyBorder="1"/>
    <xf numFmtId="0" fontId="54" fillId="0" borderId="31" xfId="0" applyFont="1" applyBorder="1"/>
    <xf numFmtId="42" fontId="54" fillId="0" borderId="0" xfId="0" applyNumberFormat="1" applyFont="1" applyBorder="1"/>
    <xf numFmtId="0" fontId="54" fillId="0" borderId="0" xfId="0" applyFont="1"/>
    <xf numFmtId="0" fontId="56" fillId="0" borderId="33" xfId="0" applyFont="1" applyBorder="1"/>
    <xf numFmtId="0" fontId="56" fillId="0" borderId="34" xfId="0" applyFont="1" applyBorder="1" applyAlignment="1">
      <alignment horizontal="center"/>
    </xf>
    <xf numFmtId="0" fontId="57" fillId="0" borderId="35" xfId="0" applyFont="1" applyBorder="1"/>
    <xf numFmtId="0" fontId="56" fillId="0" borderId="34" xfId="0" applyFont="1" applyBorder="1"/>
    <xf numFmtId="0" fontId="56" fillId="0" borderId="27" xfId="0" applyFont="1" applyBorder="1"/>
    <xf numFmtId="0" fontId="56" fillId="0" borderId="0" xfId="0" applyFont="1" applyBorder="1"/>
    <xf numFmtId="0" fontId="52" fillId="0" borderId="36" xfId="0" applyFont="1" applyFill="1" applyBorder="1"/>
    <xf numFmtId="0" fontId="58" fillId="0" borderId="0" xfId="0" applyFont="1"/>
    <xf numFmtId="0" fontId="59" fillId="0" borderId="0" xfId="0" applyFont="1"/>
    <xf numFmtId="0" fontId="60" fillId="0" borderId="0" xfId="0" applyFont="1" applyFill="1" applyBorder="1"/>
    <xf numFmtId="6" fontId="60" fillId="0" borderId="0" xfId="0" applyNumberFormat="1" applyFont="1" applyFill="1" applyBorder="1"/>
    <xf numFmtId="0" fontId="61" fillId="0" borderId="0" xfId="0" applyFont="1" applyBorder="1"/>
    <xf numFmtId="6" fontId="61" fillId="0" borderId="0" xfId="0" applyNumberFormat="1" applyFont="1" applyBorder="1"/>
    <xf numFmtId="0" fontId="58" fillId="0" borderId="0" xfId="0" applyFont="1" applyBorder="1"/>
    <xf numFmtId="6" fontId="61" fillId="0" borderId="0" xfId="0" applyNumberFormat="1" applyFont="1" applyBorder="1" applyAlignment="1">
      <alignment horizontal="center"/>
    </xf>
    <xf numFmtId="0" fontId="63" fillId="0" borderId="0" xfId="0" applyFont="1" applyBorder="1"/>
    <xf numFmtId="0" fontId="59" fillId="0" borderId="0" xfId="0" applyFont="1" applyBorder="1"/>
    <xf numFmtId="6" fontId="64" fillId="0" borderId="0" xfId="0" applyNumberFormat="1" applyFont="1" applyBorder="1"/>
    <xf numFmtId="6" fontId="58" fillId="0" borderId="0" xfId="0" applyNumberFormat="1" applyFont="1" applyBorder="1"/>
    <xf numFmtId="6" fontId="62" fillId="0" borderId="0" xfId="0" applyNumberFormat="1" applyFont="1" applyBorder="1"/>
    <xf numFmtId="0" fontId="65" fillId="0" borderId="0" xfId="0" applyFont="1" applyBorder="1"/>
    <xf numFmtId="164" fontId="41" fillId="0" borderId="23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6" fillId="0" borderId="0" xfId="0" applyFont="1"/>
    <xf numFmtId="164" fontId="0" fillId="0" borderId="0" xfId="0" applyNumberFormat="1" applyBorder="1"/>
    <xf numFmtId="165" fontId="66" fillId="0" borderId="0" xfId="0" applyNumberFormat="1" applyFont="1"/>
    <xf numFmtId="0" fontId="43" fillId="0" borderId="0" xfId="0" applyFont="1" applyBorder="1"/>
    <xf numFmtId="0" fontId="43" fillId="0" borderId="0" xfId="0" applyFont="1"/>
    <xf numFmtId="164" fontId="43" fillId="0" borderId="0" xfId="0" applyNumberFormat="1" applyFont="1" applyBorder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7" fillId="0" borderId="0" xfId="0" applyFont="1" applyAlignment="1"/>
    <xf numFmtId="165" fontId="0" fillId="0" borderId="0" xfId="0" applyNumberFormat="1" applyAlignment="1"/>
    <xf numFmtId="165" fontId="7" fillId="0" borderId="0" xfId="0" applyNumberFormat="1" applyFont="1" applyAlignment="1"/>
    <xf numFmtId="0" fontId="40" fillId="0" borderId="4" xfId="0" applyFont="1" applyBorder="1" applyAlignment="1">
      <alignment wrapText="1"/>
    </xf>
    <xf numFmtId="164" fontId="41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9" fillId="0" borderId="44" xfId="0" applyFont="1" applyBorder="1"/>
    <xf numFmtId="6" fontId="60" fillId="0" borderId="20" xfId="0" applyNumberFormat="1" applyFont="1" applyFill="1" applyBorder="1"/>
    <xf numFmtId="0" fontId="58" fillId="0" borderId="44" xfId="0" applyFont="1" applyBorder="1"/>
    <xf numFmtId="6" fontId="61" fillId="0" borderId="20" xfId="0" applyNumberFormat="1" applyFont="1" applyBorder="1"/>
    <xf numFmtId="0" fontId="63" fillId="0" borderId="44" xfId="0" applyFont="1" applyBorder="1"/>
    <xf numFmtId="0" fontId="64" fillId="0" borderId="0" xfId="0" applyFont="1" applyBorder="1"/>
    <xf numFmtId="0" fontId="58" fillId="0" borderId="0" xfId="0" applyFont="1" applyBorder="1" applyAlignment="1">
      <alignment horizontal="left"/>
    </xf>
    <xf numFmtId="0" fontId="60" fillId="0" borderId="33" xfId="0" applyFont="1" applyBorder="1" applyAlignment="1">
      <alignment horizontal="left"/>
    </xf>
    <xf numFmtId="0" fontId="60" fillId="0" borderId="44" xfId="0" quotePrefix="1" applyFont="1" applyBorder="1" applyAlignment="1">
      <alignment horizontal="left"/>
    </xf>
    <xf numFmtId="0" fontId="58" fillId="0" borderId="16" xfId="0" applyFont="1" applyBorder="1"/>
    <xf numFmtId="0" fontId="58" fillId="0" borderId="11" xfId="0" applyFont="1" applyBorder="1"/>
    <xf numFmtId="0" fontId="60" fillId="0" borderId="33" xfId="0" applyFont="1" applyBorder="1"/>
    <xf numFmtId="0" fontId="62" fillId="0" borderId="31" xfId="0" applyFont="1" applyBorder="1"/>
    <xf numFmtId="0" fontId="63" fillId="0" borderId="30" xfId="0" applyFont="1" applyBorder="1"/>
    <xf numFmtId="0" fontId="59" fillId="0" borderId="30" xfId="0" applyFont="1" applyBorder="1"/>
    <xf numFmtId="0" fontId="66" fillId="0" borderId="0" xfId="0" applyFont="1" applyAlignment="1"/>
    <xf numFmtId="0" fontId="67" fillId="0" borderId="4" xfId="0" applyFont="1" applyBorder="1" applyAlignment="1"/>
    <xf numFmtId="164" fontId="67" fillId="0" borderId="4" xfId="5" applyNumberFormat="1" applyFont="1" applyBorder="1" applyAlignment="1">
      <alignment horizontal="center" textRotation="90" wrapText="1"/>
    </xf>
    <xf numFmtId="0" fontId="66" fillId="0" borderId="0" xfId="0" applyFont="1" applyBorder="1"/>
    <xf numFmtId="164" fontId="67" fillId="0" borderId="23" xfId="5" applyNumberFormat="1" applyFont="1" applyFill="1" applyBorder="1" applyAlignment="1">
      <alignment horizontal="center"/>
    </xf>
    <xf numFmtId="0" fontId="57" fillId="0" borderId="44" xfId="0" applyFont="1" applyFill="1" applyBorder="1" applyAlignment="1">
      <alignment wrapText="1"/>
    </xf>
    <xf numFmtId="0" fontId="52" fillId="0" borderId="44" xfId="0" applyFont="1" applyFill="1" applyBorder="1" applyAlignment="1">
      <alignment horizontal="left"/>
    </xf>
    <xf numFmtId="0" fontId="54" fillId="0" borderId="20" xfId="0" applyFont="1" applyFill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66" fontId="0" fillId="0" borderId="44" xfId="0" applyNumberFormat="1" applyBorder="1"/>
    <xf numFmtId="166" fontId="0" fillId="0" borderId="0" xfId="0" applyNumberFormat="1" applyBorder="1"/>
    <xf numFmtId="166" fontId="0" fillId="0" borderId="20" xfId="0" applyNumberFormat="1" applyBorder="1"/>
    <xf numFmtId="166" fontId="2" fillId="0" borderId="27" xfId="0" applyNumberFormat="1" applyFont="1" applyBorder="1"/>
    <xf numFmtId="166" fontId="0" fillId="0" borderId="37" xfId="0" applyNumberFormat="1" applyBorder="1"/>
    <xf numFmtId="166" fontId="0" fillId="0" borderId="36" xfId="0" applyNumberFormat="1" applyBorder="1"/>
    <xf numFmtId="166" fontId="0" fillId="0" borderId="45" xfId="0" applyNumberFormat="1" applyBorder="1"/>
    <xf numFmtId="16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166" fontId="7" fillId="0" borderId="20" xfId="0" applyNumberFormat="1" applyFont="1" applyBorder="1" applyAlignment="1">
      <alignment horizontal="right"/>
    </xf>
    <xf numFmtId="165" fontId="39" fillId="0" borderId="46" xfId="0" applyNumberFormat="1" applyFont="1" applyBorder="1"/>
    <xf numFmtId="165" fontId="0" fillId="0" borderId="47" xfId="0" applyNumberFormat="1" applyBorder="1"/>
    <xf numFmtId="165" fontId="0" fillId="0" borderId="48" xfId="0" applyNumberFormat="1" applyBorder="1"/>
    <xf numFmtId="165" fontId="0" fillId="0" borderId="36" xfId="0" applyNumberFormat="1" applyBorder="1"/>
    <xf numFmtId="165" fontId="7" fillId="0" borderId="45" xfId="0" applyNumberFormat="1" applyFont="1" applyBorder="1" applyAlignment="1">
      <alignment horizontal="right"/>
    </xf>
    <xf numFmtId="165" fontId="0" fillId="0" borderId="44" xfId="0" applyNumberFormat="1" applyBorder="1"/>
    <xf numFmtId="165" fontId="7" fillId="0" borderId="20" xfId="0" applyNumberFormat="1" applyFont="1" applyBorder="1" applyAlignment="1">
      <alignment horizontal="right"/>
    </xf>
    <xf numFmtId="165" fontId="7" fillId="0" borderId="47" xfId="0" applyNumberFormat="1" applyFont="1" applyBorder="1"/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164" fontId="41" fillId="0" borderId="9" xfId="5" applyNumberFormat="1" applyFont="1" applyBorder="1" applyAlignment="1">
      <alignment horizontal="center" vertical="center" wrapText="1"/>
    </xf>
    <xf numFmtId="164" fontId="41" fillId="0" borderId="10" xfId="5" applyNumberFormat="1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 applyBorder="1"/>
    <xf numFmtId="1" fontId="25" fillId="0" borderId="0" xfId="3" applyNumberFormat="1" applyFont="1" applyBorder="1"/>
    <xf numFmtId="1" fontId="26" fillId="0" borderId="0" xfId="3" applyNumberFormat="1" applyFont="1" applyBorder="1"/>
    <xf numFmtId="1" fontId="22" fillId="0" borderId="0" xfId="3" applyNumberFormat="1" applyFont="1" applyBorder="1"/>
    <xf numFmtId="1" fontId="27" fillId="0" borderId="0" xfId="3" applyNumberFormat="1" applyFont="1" applyBorder="1"/>
    <xf numFmtId="1" fontId="28" fillId="0" borderId="0" xfId="3" applyNumberFormat="1" applyFont="1" applyBorder="1"/>
    <xf numFmtId="1" fontId="22" fillId="0" borderId="20" xfId="3" applyNumberFormat="1" applyFont="1" applyBorder="1"/>
    <xf numFmtId="0" fontId="0" fillId="0" borderId="48" xfId="0" applyBorder="1"/>
    <xf numFmtId="6" fontId="0" fillId="0" borderId="0" xfId="0" applyNumberFormat="1"/>
    <xf numFmtId="0" fontId="69" fillId="0" borderId="44" xfId="0" applyFont="1" applyBorder="1"/>
    <xf numFmtId="0" fontId="69" fillId="0" borderId="0" xfId="0" applyFont="1"/>
    <xf numFmtId="166" fontId="0" fillId="0" borderId="0" xfId="0" applyNumberFormat="1" applyAlignment="1"/>
    <xf numFmtId="166" fontId="0" fillId="0" borderId="44" xfId="0" applyNumberFormat="1" applyBorder="1" applyAlignment="1"/>
    <xf numFmtId="166" fontId="0" fillId="0" borderId="48" xfId="0" applyNumberFormat="1" applyBorder="1" applyAlignment="1"/>
    <xf numFmtId="166" fontId="7" fillId="0" borderId="33" xfId="0" applyNumberFormat="1" applyFont="1" applyBorder="1" applyAlignment="1"/>
    <xf numFmtId="166" fontId="0" fillId="0" borderId="34" xfId="0" applyNumberFormat="1" applyBorder="1" applyAlignment="1"/>
    <xf numFmtId="166" fontId="7" fillId="0" borderId="44" xfId="0" applyNumberFormat="1" applyFont="1" applyBorder="1" applyAlignment="1"/>
    <xf numFmtId="166" fontId="0" fillId="0" borderId="12" xfId="0" applyNumberFormat="1" applyBorder="1" applyAlignment="1">
      <alignment wrapText="1"/>
    </xf>
    <xf numFmtId="166" fontId="7" fillId="0" borderId="31" xfId="0" applyNumberFormat="1" applyFont="1" applyBorder="1" applyAlignment="1"/>
    <xf numFmtId="166" fontId="0" fillId="0" borderId="30" xfId="0" applyNumberFormat="1" applyBorder="1" applyAlignment="1"/>
    <xf numFmtId="166" fontId="0" fillId="0" borderId="4" xfId="0" applyNumberFormat="1" applyBorder="1" applyAlignment="1">
      <alignment wrapText="1"/>
    </xf>
    <xf numFmtId="166" fontId="7" fillId="0" borderId="48" xfId="0" applyNumberFormat="1" applyFont="1" applyBorder="1" applyAlignment="1"/>
    <xf numFmtId="166" fontId="9" fillId="0" borderId="31" xfId="0" applyNumberFormat="1" applyFont="1" applyBorder="1" applyAlignment="1"/>
    <xf numFmtId="166" fontId="9" fillId="0" borderId="30" xfId="0" applyNumberFormat="1" applyFont="1" applyBorder="1" applyAlignment="1"/>
    <xf numFmtId="166" fontId="41" fillId="0" borderId="15" xfId="5" applyNumberFormat="1" applyFont="1" applyFill="1" applyBorder="1" applyAlignment="1">
      <alignment horizontal="right" vertical="center"/>
    </xf>
    <xf numFmtId="166" fontId="40" fillId="0" borderId="4" xfId="5" applyNumberFormat="1" applyFont="1" applyBorder="1" applyAlignment="1">
      <alignment horizontal="right"/>
    </xf>
    <xf numFmtId="166" fontId="58" fillId="0" borderId="23" xfId="0" applyNumberFormat="1" applyFont="1" applyBorder="1"/>
    <xf numFmtId="166" fontId="63" fillId="0" borderId="35" xfId="0" applyNumberFormat="1" applyFont="1" applyBorder="1"/>
    <xf numFmtId="166" fontId="59" fillId="0" borderId="20" xfId="0" applyNumberFormat="1" applyFont="1" applyBorder="1"/>
    <xf numFmtId="166" fontId="64" fillId="0" borderId="35" xfId="0" applyNumberFormat="1" applyFont="1" applyBorder="1"/>
    <xf numFmtId="166" fontId="59" fillId="0" borderId="0" xfId="0" applyNumberFormat="1" applyFont="1" applyBorder="1"/>
    <xf numFmtId="166" fontId="60" fillId="0" borderId="30" xfId="0" applyNumberFormat="1" applyFont="1" applyBorder="1"/>
    <xf numFmtId="166" fontId="56" fillId="0" borderId="2" xfId="0" applyNumberFormat="1" applyFont="1" applyBorder="1" applyAlignment="1">
      <alignment horizontal="left"/>
    </xf>
    <xf numFmtId="166" fontId="52" fillId="0" borderId="45" xfId="0" applyNumberFormat="1" applyFont="1" applyBorder="1" applyAlignment="1">
      <alignment horizontal="right"/>
    </xf>
    <xf numFmtId="166" fontId="52" fillId="0" borderId="32" xfId="0" applyNumberFormat="1" applyFont="1" applyFill="1" applyBorder="1" applyAlignment="1">
      <alignment horizontal="right"/>
    </xf>
    <xf numFmtId="166" fontId="56" fillId="0" borderId="0" xfId="0" applyNumberFormat="1" applyFont="1" applyBorder="1" applyAlignment="1">
      <alignment horizontal="left"/>
    </xf>
    <xf numFmtId="166" fontId="57" fillId="0" borderId="20" xfId="0" applyNumberFormat="1" applyFont="1" applyBorder="1" applyAlignment="1">
      <alignment horizontal="left"/>
    </xf>
    <xf numFmtId="166" fontId="56" fillId="0" borderId="20" xfId="0" applyNumberFormat="1" applyFont="1" applyBorder="1" applyAlignment="1">
      <alignment horizontal="left"/>
    </xf>
    <xf numFmtId="166" fontId="57" fillId="0" borderId="45" xfId="0" applyNumberFormat="1" applyFont="1" applyBorder="1" applyAlignment="1">
      <alignment horizontal="left"/>
    </xf>
    <xf numFmtId="166" fontId="55" fillId="0" borderId="30" xfId="0" applyNumberFormat="1" applyFont="1" applyFill="1" applyBorder="1" applyAlignment="1">
      <alignment horizontal="left"/>
    </xf>
    <xf numFmtId="166" fontId="52" fillId="0" borderId="30" xfId="0" applyNumberFormat="1" applyFont="1" applyBorder="1" applyAlignment="1">
      <alignment horizontal="left"/>
    </xf>
    <xf numFmtId="166" fontId="54" fillId="0" borderId="30" xfId="0" applyNumberFormat="1" applyFont="1" applyBorder="1" applyAlignment="1">
      <alignment horizontal="left"/>
    </xf>
    <xf numFmtId="1" fontId="57" fillId="0" borderId="0" xfId="0" applyNumberFormat="1" applyFont="1" applyFill="1" applyBorder="1" applyAlignment="1">
      <alignment horizontal="right"/>
    </xf>
    <xf numFmtId="1" fontId="57" fillId="0" borderId="0" xfId="0" applyNumberFormat="1" applyFont="1" applyBorder="1" applyAlignment="1">
      <alignment horizontal="right"/>
    </xf>
    <xf numFmtId="1" fontId="57" fillId="0" borderId="0" xfId="0" applyNumberFormat="1" applyFont="1" applyFill="1" applyBorder="1" applyAlignment="1">
      <alignment horizontal="right" wrapText="1"/>
    </xf>
    <xf numFmtId="1" fontId="57" fillId="0" borderId="0" xfId="0" applyNumberFormat="1" applyFont="1" applyBorder="1" applyAlignment="1">
      <alignment horizontal="right" wrapText="1"/>
    </xf>
    <xf numFmtId="1" fontId="9" fillId="0" borderId="23" xfId="0" applyNumberFormat="1" applyFont="1" applyBorder="1"/>
    <xf numFmtId="1" fontId="4" fillId="0" borderId="20" xfId="0" applyNumberFormat="1" applyFont="1" applyBorder="1"/>
    <xf numFmtId="1" fontId="12" fillId="0" borderId="23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2" xfId="0" applyNumberFormat="1" applyBorder="1"/>
    <xf numFmtId="166" fontId="0" fillId="0" borderId="23" xfId="0" applyNumberFormat="1" applyBorder="1" applyAlignment="1">
      <alignment horizontal="right"/>
    </xf>
    <xf numFmtId="1" fontId="0" fillId="0" borderId="0" xfId="0" applyNumberFormat="1" applyBorder="1"/>
    <xf numFmtId="1" fontId="13" fillId="0" borderId="20" xfId="0" applyNumberFormat="1" applyFont="1" applyBorder="1"/>
    <xf numFmtId="1" fontId="14" fillId="0" borderId="25" xfId="0" applyNumberFormat="1" applyFont="1" applyBorder="1"/>
    <xf numFmtId="1" fontId="14" fillId="0" borderId="20" xfId="0" applyNumberFormat="1" applyFont="1" applyBorder="1"/>
    <xf numFmtId="1" fontId="0" fillId="0" borderId="0" xfId="0" applyNumberFormat="1" applyFill="1" applyBorder="1"/>
    <xf numFmtId="1" fontId="47" fillId="0" borderId="44" xfId="0" quotePrefix="1" applyNumberFormat="1" applyFont="1" applyBorder="1" applyAlignment="1">
      <alignment horizontal="left"/>
    </xf>
    <xf numFmtId="1" fontId="39" fillId="0" borderId="24" xfId="0" applyNumberFormat="1" applyFont="1" applyBorder="1"/>
    <xf numFmtId="1" fontId="14" fillId="0" borderId="37" xfId="0" applyNumberFormat="1" applyFont="1" applyBorder="1"/>
    <xf numFmtId="1" fontId="39" fillId="0" borderId="24" xfId="0" applyNumberFormat="1" applyFont="1" applyFill="1" applyBorder="1"/>
    <xf numFmtId="1" fontId="7" fillId="0" borderId="3" xfId="0" applyNumberFormat="1" applyFont="1" applyBorder="1"/>
    <xf numFmtId="1" fontId="7" fillId="0" borderId="25" xfId="0" applyNumberFormat="1" applyFont="1" applyBorder="1"/>
    <xf numFmtId="1" fontId="39" fillId="0" borderId="49" xfId="0" applyNumberFormat="1" applyFont="1" applyFill="1" applyBorder="1"/>
    <xf numFmtId="1" fontId="7" fillId="0" borderId="50" xfId="0" applyNumberFormat="1" applyFont="1" applyBorder="1"/>
    <xf numFmtId="1" fontId="7" fillId="0" borderId="51" xfId="0" applyNumberFormat="1" applyFont="1" applyBorder="1"/>
    <xf numFmtId="1" fontId="0" fillId="0" borderId="50" xfId="0" applyNumberFormat="1" applyBorder="1"/>
    <xf numFmtId="1" fontId="39" fillId="0" borderId="44" xfId="0" applyNumberFormat="1" applyFont="1" applyFill="1" applyBorder="1"/>
    <xf numFmtId="1" fontId="0" fillId="0" borderId="20" xfId="0" applyNumberFormat="1" applyBorder="1"/>
    <xf numFmtId="1" fontId="39" fillId="0" borderId="48" xfId="0" applyNumberFormat="1" applyFont="1" applyFill="1" applyBorder="1"/>
    <xf numFmtId="1" fontId="0" fillId="0" borderId="36" xfId="0" applyNumberFormat="1" applyBorder="1"/>
    <xf numFmtId="1" fontId="0" fillId="0" borderId="45" xfId="0" applyNumberFormat="1" applyBorder="1"/>
    <xf numFmtId="166" fontId="0" fillId="0" borderId="47" xfId="0" applyNumberFormat="1" applyBorder="1"/>
    <xf numFmtId="166" fontId="7" fillId="0" borderId="38" xfId="0" applyNumberFormat="1" applyFont="1" applyBorder="1" applyAlignment="1">
      <alignment horizontal="right"/>
    </xf>
    <xf numFmtId="166" fontId="7" fillId="0" borderId="45" xfId="0" applyNumberFormat="1" applyFont="1" applyBorder="1" applyAlignment="1">
      <alignment horizontal="right"/>
    </xf>
    <xf numFmtId="166" fontId="7" fillId="0" borderId="47" xfId="0" applyNumberFormat="1" applyFont="1" applyBorder="1"/>
    <xf numFmtId="166" fontId="8" fillId="0" borderId="0" xfId="0" applyNumberFormat="1" applyFont="1" applyBorder="1" applyAlignment="1">
      <alignment horizontal="right"/>
    </xf>
    <xf numFmtId="166" fontId="8" fillId="0" borderId="36" xfId="0" applyNumberFormat="1" applyFont="1" applyBorder="1" applyAlignment="1">
      <alignment horizontal="right"/>
    </xf>
    <xf numFmtId="166" fontId="8" fillId="0" borderId="36" xfId="0" applyNumberFormat="1" applyFont="1" applyBorder="1"/>
    <xf numFmtId="1" fontId="0" fillId="0" borderId="0" xfId="0" applyNumberFormat="1"/>
    <xf numFmtId="1" fontId="8" fillId="0" borderId="0" xfId="0" applyNumberFormat="1" applyFont="1" applyBorder="1"/>
    <xf numFmtId="1" fontId="38" fillId="0" borderId="0" xfId="0" applyNumberFormat="1" applyFont="1" applyBorder="1"/>
    <xf numFmtId="1" fontId="44" fillId="0" borderId="0" xfId="0" applyNumberFormat="1" applyFont="1" applyBorder="1"/>
    <xf numFmtId="1" fontId="41" fillId="0" borderId="4" xfId="5" applyNumberFormat="1" applyFont="1" applyBorder="1" applyAlignment="1">
      <alignment horizontal="center" vertical="center" wrapText="1"/>
    </xf>
    <xf numFmtId="1" fontId="41" fillId="0" borderId="23" xfId="5" applyNumberFormat="1" applyFont="1" applyFill="1" applyBorder="1" applyAlignment="1">
      <alignment horizontal="center" vertical="center"/>
    </xf>
    <xf numFmtId="1" fontId="40" fillId="0" borderId="5" xfId="5" applyNumberFormat="1" applyFont="1" applyBorder="1" applyAlignment="1">
      <alignment horizontal="right"/>
    </xf>
    <xf numFmtId="1" fontId="40" fillId="0" borderId="15" xfId="5" applyNumberFormat="1" applyFont="1" applyBorder="1" applyAlignment="1">
      <alignment horizontal="right"/>
    </xf>
    <xf numFmtId="1" fontId="40" fillId="0" borderId="4" xfId="5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" fontId="41" fillId="0" borderId="4" xfId="5" applyNumberFormat="1" applyFont="1" applyBorder="1" applyAlignment="1">
      <alignment horizontal="right" vertical="center" wrapText="1"/>
    </xf>
    <xf numFmtId="1" fontId="41" fillId="0" borderId="23" xfId="5" applyNumberFormat="1" applyFont="1" applyFill="1" applyBorder="1" applyAlignment="1">
      <alignment horizontal="right" vertical="center"/>
    </xf>
    <xf numFmtId="1" fontId="42" fillId="0" borderId="23" xfId="5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29" fillId="0" borderId="23" xfId="3" applyNumberFormat="1" applyFont="1" applyBorder="1"/>
    <xf numFmtId="1" fontId="31" fillId="0" borderId="4" xfId="3" applyNumberFormat="1" applyFont="1" applyBorder="1"/>
    <xf numFmtId="1" fontId="31" fillId="0" borderId="23" xfId="3" applyNumberFormat="1" applyFont="1" applyBorder="1"/>
    <xf numFmtId="1" fontId="29" fillId="0" borderId="23" xfId="2" applyNumberFormat="1" applyFont="1" applyBorder="1"/>
    <xf numFmtId="1" fontId="31" fillId="0" borderId="4" xfId="2" applyNumberFormat="1" applyFont="1" applyBorder="1"/>
    <xf numFmtId="1" fontId="31" fillId="0" borderId="23" xfId="2" applyNumberFormat="1" applyFont="1" applyBorder="1"/>
    <xf numFmtId="1" fontId="31" fillId="0" borderId="13" xfId="2" applyNumberFormat="1" applyFont="1" applyBorder="1"/>
    <xf numFmtId="1" fontId="31" fillId="0" borderId="12" xfId="2" applyNumberFormat="1" applyFont="1" applyBorder="1"/>
    <xf numFmtId="1" fontId="29" fillId="0" borderId="40" xfId="2" applyNumberFormat="1" applyFont="1" applyBorder="1"/>
    <xf numFmtId="1" fontId="29" fillId="0" borderId="52" xfId="2" applyNumberFormat="1" applyFont="1" applyBorder="1"/>
    <xf numFmtId="1" fontId="31" fillId="0" borderId="10" xfId="3" applyNumberFormat="1" applyFont="1" applyBorder="1"/>
    <xf numFmtId="1" fontId="31" fillId="0" borderId="9" xfId="3" applyNumberFormat="1" applyFont="1" applyBorder="1"/>
    <xf numFmtId="1" fontId="29" fillId="0" borderId="13" xfId="3" applyNumberFormat="1" applyFont="1" applyBorder="1"/>
    <xf numFmtId="1" fontId="31" fillId="0" borderId="12" xfId="3" applyNumberFormat="1" applyFont="1" applyBorder="1"/>
    <xf numFmtId="1" fontId="29" fillId="0" borderId="22" xfId="3" applyNumberFormat="1" applyFont="1" applyBorder="1"/>
    <xf numFmtId="1" fontId="29" fillId="0" borderId="26" xfId="3" applyNumberFormat="1" applyFont="1" applyBorder="1"/>
    <xf numFmtId="1" fontId="31" fillId="0" borderId="53" xfId="3" applyNumberFormat="1" applyFont="1" applyBorder="1"/>
    <xf numFmtId="1" fontId="31" fillId="0" borderId="6" xfId="3" applyNumberFormat="1" applyFont="1" applyBorder="1"/>
    <xf numFmtId="1" fontId="34" fillId="0" borderId="22" xfId="3" applyNumberFormat="1" applyFont="1" applyBorder="1"/>
    <xf numFmtId="1" fontId="34" fillId="0" borderId="26" xfId="3" applyNumberFormat="1" applyFont="1" applyBorder="1"/>
    <xf numFmtId="1" fontId="69" fillId="0" borderId="0" xfId="0" applyNumberFormat="1" applyFont="1" applyBorder="1"/>
    <xf numFmtId="1" fontId="69" fillId="0" borderId="20" xfId="0" applyNumberFormat="1" applyFont="1" applyBorder="1"/>
    <xf numFmtId="1" fontId="21" fillId="0" borderId="0" xfId="0" applyNumberFormat="1" applyFont="1" applyFill="1" applyBorder="1" applyAlignment="1">
      <alignment horizontal="left"/>
    </xf>
    <xf numFmtId="1" fontId="21" fillId="0" borderId="20" xfId="0" applyNumberFormat="1" applyFont="1" applyFill="1" applyBorder="1" applyAlignment="1">
      <alignment horizontal="left"/>
    </xf>
    <xf numFmtId="0" fontId="58" fillId="0" borderId="54" xfId="0" applyFont="1" applyBorder="1"/>
    <xf numFmtId="166" fontId="58" fillId="0" borderId="55" xfId="0" applyNumberFormat="1" applyFont="1" applyBorder="1"/>
    <xf numFmtId="166" fontId="0" fillId="0" borderId="56" xfId="0" applyNumberFormat="1" applyBorder="1"/>
    <xf numFmtId="166" fontId="0" fillId="0" borderId="48" xfId="0" applyNumberFormat="1" applyBorder="1"/>
    <xf numFmtId="0" fontId="43" fillId="0" borderId="5" xfId="5" applyNumberFormat="1" applyFont="1" applyBorder="1" applyAlignment="1">
      <alignment horizontal="right" vertical="center" wrapText="1"/>
    </xf>
    <xf numFmtId="0" fontId="43" fillId="0" borderId="15" xfId="5" applyNumberFormat="1" applyFont="1" applyFill="1" applyBorder="1" applyAlignment="1">
      <alignment horizontal="right" vertical="center"/>
    </xf>
    <xf numFmtId="1" fontId="43" fillId="0" borderId="5" xfId="5" applyNumberFormat="1" applyFont="1" applyBorder="1" applyAlignment="1">
      <alignment horizontal="right" vertical="center" wrapText="1"/>
    </xf>
    <xf numFmtId="0" fontId="43" fillId="0" borderId="28" xfId="0" applyFont="1" applyBorder="1" applyAlignment="1">
      <alignment horizontal="left" vertical="center"/>
    </xf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64" fontId="41" fillId="0" borderId="5" xfId="5" applyNumberFormat="1" applyFont="1" applyBorder="1" applyAlignment="1">
      <alignment horizontal="center" vertical="center" wrapText="1"/>
    </xf>
    <xf numFmtId="164" fontId="41" fillId="0" borderId="15" xfId="5" applyNumberFormat="1" applyFont="1" applyFill="1" applyBorder="1" applyAlignment="1">
      <alignment horizontal="center" vertical="center"/>
    </xf>
    <xf numFmtId="1" fontId="41" fillId="0" borderId="5" xfId="5" applyNumberFormat="1" applyFont="1" applyBorder="1" applyAlignment="1">
      <alignment horizontal="center" vertical="center" wrapText="1"/>
    </xf>
    <xf numFmtId="1" fontId="41" fillId="0" borderId="15" xfId="5" applyNumberFormat="1" applyFont="1" applyFill="1" applyBorder="1" applyAlignment="1">
      <alignment horizontal="center" vertical="center"/>
    </xf>
    <xf numFmtId="1" fontId="41" fillId="0" borderId="5" xfId="5" applyNumberFormat="1" applyFont="1" applyBorder="1" applyAlignment="1">
      <alignment horizontal="right" vertical="center" wrapText="1"/>
    </xf>
    <xf numFmtId="1" fontId="41" fillId="0" borderId="15" xfId="5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1" fontId="43" fillId="0" borderId="15" xfId="5" applyNumberFormat="1" applyFont="1" applyFill="1" applyBorder="1" applyAlignment="1">
      <alignment horizontal="right" vertical="center"/>
    </xf>
    <xf numFmtId="0" fontId="0" fillId="0" borderId="36" xfId="0" applyBorder="1"/>
    <xf numFmtId="164" fontId="41" fillId="0" borderId="5" xfId="5" applyNumberFormat="1" applyFont="1" applyBorder="1" applyAlignment="1">
      <alignment horizontal="center" wrapText="1"/>
    </xf>
    <xf numFmtId="164" fontId="41" fillId="0" borderId="15" xfId="5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57" fillId="0" borderId="0" xfId="0" applyNumberFormat="1" applyFont="1" applyBorder="1" applyAlignment="1">
      <alignment horizontal="right"/>
    </xf>
    <xf numFmtId="0" fontId="7" fillId="0" borderId="2" xfId="0" applyFont="1" applyBorder="1"/>
    <xf numFmtId="14" fontId="0" fillId="0" borderId="0" xfId="0" applyNumberFormat="1"/>
    <xf numFmtId="0" fontId="41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50" fillId="0" borderId="4" xfId="0" applyFont="1" applyBorder="1" applyAlignment="1">
      <alignment wrapText="1"/>
    </xf>
    <xf numFmtId="166" fontId="50" fillId="0" borderId="43" xfId="5" applyNumberFormat="1" applyFont="1" applyBorder="1" applyAlignment="1">
      <alignment horizontal="right"/>
    </xf>
    <xf numFmtId="166" fontId="50" fillId="0" borderId="4" xfId="0" applyNumberFormat="1" applyFont="1" applyBorder="1" applyAlignment="1">
      <alignment horizontal="right"/>
    </xf>
    <xf numFmtId="166" fontId="50" fillId="0" borderId="4" xfId="5" applyNumberFormat="1" applyFont="1" applyBorder="1" applyAlignment="1">
      <alignment horizontal="right"/>
    </xf>
    <xf numFmtId="0" fontId="51" fillId="0" borderId="26" xfId="0" applyFont="1" applyBorder="1"/>
    <xf numFmtId="166" fontId="51" fillId="0" borderId="26" xfId="0" applyNumberFormat="1" applyFont="1" applyBorder="1" applyAlignment="1">
      <alignment horizontal="right"/>
    </xf>
    <xf numFmtId="1" fontId="7" fillId="3" borderId="52" xfId="0" applyNumberFormat="1" applyFont="1" applyFill="1" applyBorder="1"/>
    <xf numFmtId="0" fontId="38" fillId="3" borderId="26" xfId="0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0" fillId="0" borderId="55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53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0" fillId="0" borderId="0" xfId="0" applyAlignment="1">
      <alignment horizontal="right"/>
    </xf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8" fillId="0" borderId="4" xfId="0" applyFont="1" applyBorder="1"/>
    <xf numFmtId="0" fontId="38" fillId="0" borderId="4" xfId="0" applyFont="1" applyBorder="1" applyAlignment="1">
      <alignment wrapText="1"/>
    </xf>
    <xf numFmtId="0" fontId="38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166" fontId="7" fillId="0" borderId="38" xfId="0" applyNumberFormat="1" applyFont="1" applyFill="1" applyBorder="1" applyAlignment="1">
      <alignment horizontal="right"/>
    </xf>
    <xf numFmtId="0" fontId="0" fillId="0" borderId="37" xfId="0" applyBorder="1"/>
    <xf numFmtId="1" fontId="57" fillId="0" borderId="36" xfId="0" applyNumberFormat="1" applyFont="1" applyBorder="1" applyAlignment="1">
      <alignment horizontal="right"/>
    </xf>
    <xf numFmtId="0" fontId="41" fillId="0" borderId="4" xfId="0" applyFont="1" applyBorder="1" applyAlignment="1">
      <alignment horizontal="center" wrapText="1"/>
    </xf>
    <xf numFmtId="0" fontId="41" fillId="0" borderId="8" xfId="0" applyFont="1" applyBorder="1" applyAlignment="1">
      <alignment horizontal="center" vertical="center" wrapText="1"/>
    </xf>
    <xf numFmtId="49" fontId="40" fillId="0" borderId="1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0" fontId="40" fillId="0" borderId="4" xfId="0" applyFont="1" applyBorder="1" applyAlignment="1">
      <alignment horizontal="left"/>
    </xf>
    <xf numFmtId="49" fontId="11" fillId="0" borderId="44" xfId="0" applyNumberFormat="1" applyFont="1" applyFill="1" applyBorder="1"/>
    <xf numFmtId="49" fontId="0" fillId="0" borderId="44" xfId="0" applyNumberFormat="1" applyBorder="1"/>
    <xf numFmtId="49" fontId="40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 applyBorder="1"/>
    <xf numFmtId="49" fontId="7" fillId="0" borderId="0" xfId="0" applyNumberFormat="1" applyFont="1" applyBorder="1"/>
    <xf numFmtId="49" fontId="0" fillId="0" borderId="0" xfId="0" applyNumberFormat="1"/>
    <xf numFmtId="49" fontId="41" fillId="0" borderId="16" xfId="0" applyNumberFormat="1" applyFont="1" applyBorder="1" applyAlignment="1">
      <alignment horizontal="center" vertical="center" wrapText="1"/>
    </xf>
    <xf numFmtId="49" fontId="43" fillId="0" borderId="16" xfId="0" applyNumberFormat="1" applyFont="1" applyBorder="1" applyAlignment="1">
      <alignment horizontal="center" vertical="center"/>
    </xf>
    <xf numFmtId="0" fontId="50" fillId="0" borderId="0" xfId="0" applyFont="1" applyAlignment="1"/>
    <xf numFmtId="0" fontId="50" fillId="0" borderId="4" xfId="0" applyFont="1" applyBorder="1" applyAlignment="1"/>
    <xf numFmtId="49" fontId="67" fillId="0" borderId="16" xfId="0" applyNumberFormat="1" applyFont="1" applyBorder="1" applyAlignment="1">
      <alignment horizontal="left" wrapText="1"/>
    </xf>
    <xf numFmtId="49" fontId="50" fillId="0" borderId="16" xfId="0" applyNumberFormat="1" applyFont="1" applyBorder="1" applyAlignment="1">
      <alignment horizontal="left" wrapText="1"/>
    </xf>
    <xf numFmtId="49" fontId="50" fillId="0" borderId="16" xfId="0" applyNumberFormat="1" applyFont="1" applyBorder="1" applyAlignment="1">
      <alignment horizontal="center"/>
    </xf>
    <xf numFmtId="49" fontId="51" fillId="0" borderId="31" xfId="0" applyNumberFormat="1" applyFont="1" applyBorder="1"/>
    <xf numFmtId="1" fontId="50" fillId="0" borderId="4" xfId="5" applyNumberFormat="1" applyFont="1" applyBorder="1" applyAlignment="1">
      <alignment horizontal="center" wrapText="1"/>
    </xf>
    <xf numFmtId="164" fontId="67" fillId="0" borderId="29" xfId="5" applyNumberFormat="1" applyFont="1" applyBorder="1" applyAlignment="1">
      <alignment horizontal="center" textRotation="90" wrapText="1"/>
    </xf>
    <xf numFmtId="49" fontId="41" fillId="0" borderId="16" xfId="0" applyNumberFormat="1" applyFont="1" applyBorder="1" applyAlignment="1">
      <alignment horizontal="center" wrapText="1"/>
    </xf>
    <xf numFmtId="49" fontId="40" fillId="0" borderId="16" xfId="0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3" fillId="0" borderId="14" xfId="0" applyNumberFormat="1" applyFont="1" applyBorder="1" applyAlignment="1">
      <alignment horizontal="center" vertical="center" wrapText="1"/>
    </xf>
    <xf numFmtId="49" fontId="43" fillId="0" borderId="27" xfId="0" applyNumberFormat="1" applyFont="1" applyBorder="1" applyAlignment="1">
      <alignment horizontal="center" vertical="center"/>
    </xf>
    <xf numFmtId="1" fontId="43" fillId="0" borderId="5" xfId="5" applyNumberFormat="1" applyFont="1" applyBorder="1" applyAlignment="1">
      <alignment horizontal="left" vertical="center" wrapText="1"/>
    </xf>
    <xf numFmtId="166" fontId="50" fillId="0" borderId="43" xfId="5" applyNumberFormat="1" applyFont="1" applyFill="1" applyBorder="1" applyAlignment="1">
      <alignment horizontal="right"/>
    </xf>
    <xf numFmtId="0" fontId="43" fillId="0" borderId="4" xfId="0" applyFont="1" applyBorder="1" applyAlignment="1"/>
    <xf numFmtId="49" fontId="43" fillId="0" borderId="16" xfId="0" applyNumberFormat="1" applyFont="1" applyBorder="1" applyAlignment="1">
      <alignment horizontal="center" wrapText="1"/>
    </xf>
    <xf numFmtId="166" fontId="7" fillId="0" borderId="44" xfId="0" applyNumberFormat="1" applyFont="1" applyBorder="1" applyAlignment="1">
      <alignment horizontal="left"/>
    </xf>
    <xf numFmtId="166" fontId="8" fillId="0" borderId="5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49" fillId="0" borderId="44" xfId="0" applyFont="1" applyBorder="1" applyAlignment="1">
      <alignment wrapText="1"/>
    </xf>
    <xf numFmtId="166" fontId="49" fillId="0" borderId="0" xfId="0" applyNumberFormat="1" applyFont="1" applyBorder="1" applyAlignment="1">
      <alignment horizontal="right"/>
    </xf>
    <xf numFmtId="166" fontId="41" fillId="0" borderId="0" xfId="5" applyNumberFormat="1" applyFont="1" applyFill="1" applyBorder="1" applyAlignment="1">
      <alignment horizontal="right" vertical="center"/>
    </xf>
    <xf numFmtId="166" fontId="50" fillId="0" borderId="6" xfId="5" applyNumberFormat="1" applyFont="1" applyBorder="1" applyAlignment="1">
      <alignment horizontal="right"/>
    </xf>
    <xf numFmtId="166" fontId="40" fillId="0" borderId="0" xfId="5" applyNumberFormat="1" applyFont="1" applyBorder="1" applyAlignment="1">
      <alignment horizontal="right"/>
    </xf>
    <xf numFmtId="0" fontId="50" fillId="0" borderId="0" xfId="0" applyFont="1" applyBorder="1" applyAlignment="1"/>
    <xf numFmtId="166" fontId="50" fillId="0" borderId="0" xfId="0" applyNumberFormat="1" applyFont="1" applyBorder="1" applyAlignment="1">
      <alignment horizontal="right"/>
    </xf>
    <xf numFmtId="1" fontId="50" fillId="0" borderId="0" xfId="5" applyNumberFormat="1" applyFont="1" applyFill="1" applyBorder="1" applyAlignment="1">
      <alignment horizontal="right"/>
    </xf>
    <xf numFmtId="166" fontId="50" fillId="0" borderId="0" xfId="0" applyNumberFormat="1" applyFont="1" applyBorder="1"/>
    <xf numFmtId="165" fontId="50" fillId="0" borderId="0" xfId="0" applyNumberFormat="1" applyFont="1" applyFill="1" applyBorder="1"/>
    <xf numFmtId="166" fontId="70" fillId="0" borderId="0" xfId="5" applyNumberFormat="1" applyFont="1" applyFill="1" applyBorder="1" applyAlignment="1">
      <alignment horizontal="right"/>
    </xf>
    <xf numFmtId="0" fontId="50" fillId="0" borderId="0" xfId="0" applyFont="1" applyFill="1" applyBorder="1" applyAlignment="1"/>
    <xf numFmtId="0" fontId="50" fillId="0" borderId="0" xfId="0" applyFont="1" applyFill="1" applyBorder="1"/>
    <xf numFmtId="166" fontId="67" fillId="0" borderId="0" xfId="0" applyNumberFormat="1" applyFont="1" applyFill="1" applyBorder="1" applyAlignment="1">
      <alignment horizontal="right"/>
    </xf>
    <xf numFmtId="166" fontId="47" fillId="0" borderId="0" xfId="0" applyNumberFormat="1" applyFont="1" applyFill="1" applyBorder="1" applyAlignment="1">
      <alignment horizontal="left"/>
    </xf>
    <xf numFmtId="1" fontId="73" fillId="0" borderId="14" xfId="3" applyNumberFormat="1" applyFont="1" applyBorder="1"/>
    <xf numFmtId="1" fontId="30" fillId="0" borderId="19" xfId="3" applyNumberFormat="1" applyFont="1" applyBorder="1"/>
    <xf numFmtId="1" fontId="29" fillId="0" borderId="53" xfId="3" applyNumberFormat="1" applyFont="1" applyBorder="1"/>
    <xf numFmtId="0" fontId="0" fillId="0" borderId="19" xfId="0" applyBorder="1"/>
    <xf numFmtId="1" fontId="0" fillId="0" borderId="55" xfId="0" applyNumberFormat="1" applyBorder="1"/>
    <xf numFmtId="0" fontId="7" fillId="0" borderId="19" xfId="0" applyFont="1" applyBorder="1"/>
    <xf numFmtId="0" fontId="0" fillId="0" borderId="50" xfId="0" applyBorder="1" applyAlignment="1"/>
    <xf numFmtId="0" fontId="0" fillId="0" borderId="50" xfId="0" applyBorder="1"/>
    <xf numFmtId="0" fontId="0" fillId="0" borderId="7" xfId="0" applyBorder="1"/>
    <xf numFmtId="0" fontId="7" fillId="0" borderId="1" xfId="0" applyFont="1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0" fillId="0" borderId="7" xfId="0" applyFill="1" applyBorder="1"/>
    <xf numFmtId="0" fontId="8" fillId="0" borderId="60" xfId="0" applyFont="1" applyBorder="1"/>
    <xf numFmtId="0" fontId="7" fillId="0" borderId="18" xfId="0" applyFont="1" applyFill="1" applyBorder="1"/>
    <xf numFmtId="0" fontId="9" fillId="0" borderId="5" xfId="0" applyFont="1" applyBorder="1"/>
    <xf numFmtId="0" fontId="9" fillId="0" borderId="18" xfId="0" applyFont="1" applyFill="1" applyBorder="1"/>
    <xf numFmtId="0" fontId="8" fillId="0" borderId="62" xfId="0" applyNumberFormat="1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166" fontId="51" fillId="0" borderId="6" xfId="0" applyNumberFormat="1" applyFont="1" applyBorder="1" applyAlignment="1">
      <alignment horizontal="right"/>
    </xf>
    <xf numFmtId="165" fontId="74" fillId="0" borderId="0" xfId="0" applyNumberFormat="1" applyFont="1" applyFill="1" applyBorder="1"/>
    <xf numFmtId="0" fontId="50" fillId="0" borderId="4" xfId="0" applyFont="1" applyBorder="1"/>
    <xf numFmtId="0" fontId="50" fillId="0" borderId="28" xfId="0" applyFont="1" applyBorder="1" applyAlignment="1">
      <alignment wrapText="1"/>
    </xf>
    <xf numFmtId="0" fontId="50" fillId="0" borderId="43" xfId="0" applyFont="1" applyBorder="1"/>
    <xf numFmtId="0" fontId="51" fillId="0" borderId="0" xfId="0" applyFont="1" applyBorder="1" applyAlignment="1">
      <alignment horizontal="center"/>
    </xf>
    <xf numFmtId="164" fontId="51" fillId="0" borderId="0" xfId="5" applyNumberFormat="1" applyFont="1" applyFill="1" applyBorder="1" applyAlignment="1">
      <alignment horizontal="center"/>
    </xf>
    <xf numFmtId="164" fontId="51" fillId="0" borderId="4" xfId="5" applyNumberFormat="1" applyFont="1" applyBorder="1" applyAlignment="1">
      <alignment horizontal="center" wrapText="1"/>
    </xf>
    <xf numFmtId="49" fontId="50" fillId="0" borderId="16" xfId="0" applyNumberFormat="1" applyFont="1" applyBorder="1" applyAlignment="1">
      <alignment horizontal="center" vertical="center"/>
    </xf>
    <xf numFmtId="166" fontId="50" fillId="0" borderId="5" xfId="5" applyNumberFormat="1" applyFont="1" applyBorder="1" applyAlignment="1">
      <alignment horizontal="right"/>
    </xf>
    <xf numFmtId="49" fontId="50" fillId="0" borderId="16" xfId="0" applyNumberFormat="1" applyFont="1" applyBorder="1" applyAlignment="1">
      <alignment horizontal="center" wrapText="1"/>
    </xf>
    <xf numFmtId="1" fontId="50" fillId="0" borderId="4" xfId="5" applyNumberFormat="1" applyFont="1" applyBorder="1" applyAlignment="1">
      <alignment horizontal="right"/>
    </xf>
    <xf numFmtId="49" fontId="50" fillId="0" borderId="11" xfId="0" applyNumberFormat="1" applyFont="1" applyBorder="1" applyAlignment="1">
      <alignment horizontal="center"/>
    </xf>
    <xf numFmtId="166" fontId="50" fillId="0" borderId="7" xfId="5" applyNumberFormat="1" applyFont="1" applyBorder="1" applyAlignment="1">
      <alignment horizontal="right"/>
    </xf>
    <xf numFmtId="164" fontId="50" fillId="0" borderId="0" xfId="0" applyNumberFormat="1" applyFont="1" applyBorder="1"/>
    <xf numFmtId="49" fontId="50" fillId="0" borderId="54" xfId="0" applyNumberFormat="1" applyFont="1" applyBorder="1" applyAlignment="1">
      <alignment horizontal="center"/>
    </xf>
    <xf numFmtId="0" fontId="50" fillId="0" borderId="43" xfId="0" quotePrefix="1" applyFont="1" applyBorder="1" applyAlignment="1">
      <alignment horizontal="left"/>
    </xf>
    <xf numFmtId="0" fontId="50" fillId="0" borderId="27" xfId="0" applyFont="1" applyBorder="1" applyAlignment="1">
      <alignment horizontal="center" vertical="center"/>
    </xf>
    <xf numFmtId="0" fontId="50" fillId="0" borderId="5" xfId="5" applyNumberFormat="1" applyFont="1" applyBorder="1" applyAlignment="1">
      <alignment horizontal="right"/>
    </xf>
    <xf numFmtId="166" fontId="51" fillId="0" borderId="0" xfId="5" applyNumberFormat="1" applyFont="1" applyFill="1" applyBorder="1" applyAlignment="1">
      <alignment horizontal="right" vertical="center"/>
    </xf>
    <xf numFmtId="166" fontId="51" fillId="0" borderId="0" xfId="0" applyNumberFormat="1" applyFont="1" applyBorder="1" applyAlignment="1">
      <alignment horizontal="right"/>
    </xf>
    <xf numFmtId="0" fontId="51" fillId="0" borderId="44" xfId="0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51" fillId="0" borderId="0" xfId="0" applyNumberFormat="1" applyFont="1" applyBorder="1" applyAlignment="1">
      <alignment horizontal="right"/>
    </xf>
    <xf numFmtId="1" fontId="50" fillId="0" borderId="43" xfId="5" applyNumberFormat="1" applyFont="1" applyBorder="1" applyAlignment="1">
      <alignment horizontal="right"/>
    </xf>
    <xf numFmtId="1" fontId="75" fillId="0" borderId="43" xfId="5" applyNumberFormat="1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0" fontId="50" fillId="0" borderId="5" xfId="0" applyFont="1" applyBorder="1" applyAlignment="1">
      <alignment wrapText="1"/>
    </xf>
    <xf numFmtId="166" fontId="50" fillId="0" borderId="5" xfId="5" applyNumberFormat="1" applyFont="1" applyFill="1" applyBorder="1" applyAlignment="1">
      <alignment horizontal="right"/>
    </xf>
    <xf numFmtId="166" fontId="50" fillId="0" borderId="5" xfId="0" applyNumberFormat="1" applyFont="1" applyBorder="1" applyAlignment="1">
      <alignment horizontal="right"/>
    </xf>
    <xf numFmtId="0" fontId="50" fillId="0" borderId="44" xfId="0" applyFont="1" applyBorder="1"/>
    <xf numFmtId="49" fontId="51" fillId="0" borderId="8" xfId="0" applyNumberFormat="1" applyFont="1" applyBorder="1" applyAlignment="1">
      <alignment horizontal="left" wrapText="1"/>
    </xf>
    <xf numFmtId="0" fontId="51" fillId="0" borderId="9" xfId="0" applyFont="1" applyBorder="1" applyAlignment="1"/>
    <xf numFmtId="164" fontId="51" fillId="0" borderId="63" xfId="5" applyNumberFormat="1" applyFont="1" applyBorder="1" applyAlignment="1">
      <alignment horizontal="center" textRotation="90" wrapText="1"/>
    </xf>
    <xf numFmtId="164" fontId="51" fillId="0" borderId="9" xfId="5" applyNumberFormat="1" applyFont="1" applyBorder="1" applyAlignment="1">
      <alignment horizontal="center" textRotation="90" wrapText="1"/>
    </xf>
    <xf numFmtId="1" fontId="38" fillId="0" borderId="0" xfId="0" applyNumberFormat="1" applyFont="1" applyFill="1" applyBorder="1"/>
    <xf numFmtId="0" fontId="7" fillId="0" borderId="0" xfId="0" applyFont="1" applyAlignment="1">
      <alignment horizontal="center" wrapText="1"/>
    </xf>
    <xf numFmtId="0" fontId="50" fillId="0" borderId="26" xfId="0" applyFont="1" applyBorder="1" applyAlignment="1">
      <alignment wrapText="1"/>
    </xf>
    <xf numFmtId="0" fontId="7" fillId="0" borderId="31" xfId="0" applyFont="1" applyBorder="1" applyAlignment="1"/>
    <xf numFmtId="166" fontId="7" fillId="0" borderId="31" xfId="0" applyNumberFormat="1" applyFont="1" applyBorder="1" applyAlignment="1">
      <alignment horizontal="left"/>
    </xf>
    <xf numFmtId="166" fontId="7" fillId="0" borderId="30" xfId="0" applyNumberFormat="1" applyFont="1" applyBorder="1" applyAlignment="1">
      <alignment horizontal="left"/>
    </xf>
    <xf numFmtId="166" fontId="7" fillId="0" borderId="8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0" fontId="8" fillId="0" borderId="62" xfId="0" applyNumberFormat="1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3" fontId="7" fillId="0" borderId="18" xfId="0" applyNumberFormat="1" applyFont="1" applyBorder="1"/>
    <xf numFmtId="0" fontId="50" fillId="0" borderId="12" xfId="0" applyFont="1" applyBorder="1" applyAlignment="1">
      <alignment wrapText="1"/>
    </xf>
    <xf numFmtId="166" fontId="50" fillId="0" borderId="12" xfId="5" applyNumberFormat="1" applyFont="1" applyBorder="1" applyAlignment="1">
      <alignment horizontal="right"/>
    </xf>
    <xf numFmtId="1" fontId="50" fillId="0" borderId="12" xfId="5" applyNumberFormat="1" applyFont="1" applyBorder="1" applyAlignment="1">
      <alignment horizontal="right"/>
    </xf>
    <xf numFmtId="1" fontId="75" fillId="0" borderId="4" xfId="5" applyNumberFormat="1" applyFont="1" applyBorder="1" applyAlignment="1">
      <alignment horizontal="right"/>
    </xf>
    <xf numFmtId="0" fontId="50" fillId="0" borderId="12" xfId="0" applyFont="1" applyBorder="1"/>
    <xf numFmtId="166" fontId="50" fillId="0" borderId="28" xfId="5" applyNumberFormat="1" applyFont="1" applyBorder="1" applyAlignment="1">
      <alignment horizontal="right"/>
    </xf>
    <xf numFmtId="49" fontId="51" fillId="0" borderId="33" xfId="0" applyNumberFormat="1" applyFont="1" applyBorder="1"/>
    <xf numFmtId="49" fontId="50" fillId="0" borderId="19" xfId="0" applyNumberFormat="1" applyFont="1" applyBorder="1" applyAlignment="1">
      <alignment horizontal="center"/>
    </xf>
    <xf numFmtId="1" fontId="50" fillId="0" borderId="5" xfId="5" applyNumberFormat="1" applyFont="1" applyBorder="1" applyAlignment="1">
      <alignment horizontal="center" wrapText="1"/>
    </xf>
    <xf numFmtId="49" fontId="50" fillId="0" borderId="11" xfId="0" applyNumberFormat="1" applyFont="1" applyBorder="1" applyAlignment="1">
      <alignment horizontal="left" wrapText="1"/>
    </xf>
    <xf numFmtId="1" fontId="50" fillId="0" borderId="12" xfId="5" applyNumberFormat="1" applyFont="1" applyBorder="1" applyAlignment="1">
      <alignment horizontal="center" wrapText="1"/>
    </xf>
    <xf numFmtId="166" fontId="50" fillId="0" borderId="65" xfId="5" applyNumberFormat="1" applyFont="1" applyBorder="1" applyAlignment="1">
      <alignment horizontal="right"/>
    </xf>
    <xf numFmtId="166" fontId="50" fillId="0" borderId="12" xfId="0" applyNumberFormat="1" applyFont="1" applyBorder="1" applyAlignment="1">
      <alignment horizontal="right"/>
    </xf>
    <xf numFmtId="166" fontId="50" fillId="0" borderId="12" xfId="5" applyNumberFormat="1" applyFont="1" applyFill="1" applyBorder="1" applyAlignment="1">
      <alignment horizontal="right"/>
    </xf>
    <xf numFmtId="49" fontId="51" fillId="0" borderId="17" xfId="0" applyNumberFormat="1" applyFont="1" applyBorder="1" applyAlignment="1">
      <alignment horizontal="center"/>
    </xf>
    <xf numFmtId="0" fontId="50" fillId="0" borderId="4" xfId="5" applyNumberFormat="1" applyFont="1" applyBorder="1" applyAlignment="1">
      <alignment horizontal="right" vertical="center" wrapText="1"/>
    </xf>
    <xf numFmtId="49" fontId="51" fillId="3" borderId="31" xfId="0" applyNumberFormat="1" applyFont="1" applyFill="1" applyBorder="1" applyAlignment="1">
      <alignment wrapText="1"/>
    </xf>
    <xf numFmtId="0" fontId="51" fillId="3" borderId="18" xfId="0" applyFont="1" applyFill="1" applyBorder="1" applyAlignment="1">
      <alignment wrapText="1"/>
    </xf>
    <xf numFmtId="166" fontId="51" fillId="3" borderId="26" xfId="0" applyNumberFormat="1" applyFont="1" applyFill="1" applyBorder="1" applyAlignment="1">
      <alignment horizontal="right"/>
    </xf>
    <xf numFmtId="49" fontId="51" fillId="3" borderId="33" xfId="0" applyNumberFormat="1" applyFont="1" applyFill="1" applyBorder="1" applyAlignment="1">
      <alignment wrapText="1"/>
    </xf>
    <xf numFmtId="0" fontId="51" fillId="3" borderId="67" xfId="0" applyFont="1" applyFill="1" applyBorder="1" applyAlignment="1">
      <alignment wrapText="1"/>
    </xf>
    <xf numFmtId="166" fontId="51" fillId="3" borderId="68" xfId="0" applyNumberFormat="1" applyFont="1" applyFill="1" applyBorder="1" applyAlignment="1">
      <alignment horizontal="right"/>
    </xf>
    <xf numFmtId="0" fontId="51" fillId="0" borderId="67" xfId="0" applyFont="1" applyFill="1" applyBorder="1" applyAlignment="1">
      <alignment wrapText="1"/>
    </xf>
    <xf numFmtId="166" fontId="51" fillId="0" borderId="68" xfId="0" applyNumberFormat="1" applyFont="1" applyFill="1" applyBorder="1" applyAlignment="1">
      <alignment horizontal="right"/>
    </xf>
    <xf numFmtId="166" fontId="51" fillId="0" borderId="69" xfId="0" applyNumberFormat="1" applyFont="1" applyFill="1" applyBorder="1" applyAlignment="1">
      <alignment horizontal="right"/>
    </xf>
    <xf numFmtId="49" fontId="51" fillId="0" borderId="33" xfId="0" applyNumberFormat="1" applyFont="1" applyFill="1" applyBorder="1" applyAlignment="1">
      <alignment wrapText="1"/>
    </xf>
    <xf numFmtId="49" fontId="51" fillId="3" borderId="44" xfId="0" applyNumberFormat="1" applyFont="1" applyFill="1" applyBorder="1" applyAlignment="1">
      <alignment wrapText="1"/>
    </xf>
    <xf numFmtId="0" fontId="50" fillId="3" borderId="5" xfId="0" applyFont="1" applyFill="1" applyBorder="1" applyAlignment="1">
      <alignment wrapText="1"/>
    </xf>
    <xf numFmtId="166" fontId="51" fillId="3" borderId="5" xfId="0" applyNumberFormat="1" applyFont="1" applyFill="1" applyBorder="1" applyAlignment="1">
      <alignment horizontal="right"/>
    </xf>
    <xf numFmtId="166" fontId="51" fillId="3" borderId="9" xfId="0" applyNumberFormat="1" applyFont="1" applyFill="1" applyBorder="1" applyAlignment="1">
      <alignment horizontal="right"/>
    </xf>
    <xf numFmtId="166" fontId="51" fillId="3" borderId="6" xfId="0" applyNumberFormat="1" applyFont="1" applyFill="1" applyBorder="1" applyAlignment="1">
      <alignment horizontal="right"/>
    </xf>
    <xf numFmtId="0" fontId="51" fillId="3" borderId="4" xfId="0" applyFont="1" applyFill="1" applyBorder="1" applyAlignment="1">
      <alignment wrapText="1"/>
    </xf>
    <xf numFmtId="166" fontId="51" fillId="3" borderId="4" xfId="0" applyNumberFormat="1" applyFont="1" applyFill="1" applyBorder="1" applyAlignment="1">
      <alignment horizontal="right"/>
    </xf>
    <xf numFmtId="49" fontId="51" fillId="3" borderId="48" xfId="0" applyNumberFormat="1" applyFont="1" applyFill="1" applyBorder="1" applyAlignment="1">
      <alignment wrapText="1"/>
    </xf>
    <xf numFmtId="0" fontId="51" fillId="3" borderId="52" xfId="0" applyFont="1" applyFill="1" applyBorder="1" applyAlignment="1">
      <alignment wrapText="1"/>
    </xf>
    <xf numFmtId="0" fontId="51" fillId="3" borderId="33" xfId="0" applyFont="1" applyFill="1" applyBorder="1" applyAlignment="1">
      <alignment wrapText="1"/>
    </xf>
    <xf numFmtId="0" fontId="50" fillId="3" borderId="26" xfId="0" applyFont="1" applyFill="1" applyBorder="1" applyAlignment="1">
      <alignment wrapText="1"/>
    </xf>
    <xf numFmtId="0" fontId="51" fillId="0" borderId="33" xfId="0" applyFont="1" applyFill="1" applyBorder="1" applyAlignment="1">
      <alignment wrapText="1"/>
    </xf>
    <xf numFmtId="0" fontId="50" fillId="0" borderId="68" xfId="0" applyFont="1" applyFill="1" applyBorder="1" applyAlignment="1">
      <alignment wrapText="1"/>
    </xf>
    <xf numFmtId="0" fontId="51" fillId="3" borderId="12" xfId="0" applyFont="1" applyFill="1" applyBorder="1" applyAlignment="1">
      <alignment wrapText="1"/>
    </xf>
    <xf numFmtId="0" fontId="50" fillId="3" borderId="12" xfId="0" applyFont="1" applyFill="1" applyBorder="1" applyAlignment="1">
      <alignment wrapText="1"/>
    </xf>
    <xf numFmtId="166" fontId="51" fillId="3" borderId="12" xfId="0" applyNumberFormat="1" applyFont="1" applyFill="1" applyBorder="1" applyAlignment="1">
      <alignment horizontal="right"/>
    </xf>
    <xf numFmtId="0" fontId="51" fillId="3" borderId="26" xfId="0" applyFont="1" applyFill="1" applyBorder="1" applyAlignment="1">
      <alignment wrapText="1"/>
    </xf>
    <xf numFmtId="0" fontId="50" fillId="3" borderId="52" xfId="0" applyFont="1" applyFill="1" applyBorder="1" applyAlignment="1">
      <alignment wrapText="1"/>
    </xf>
    <xf numFmtId="165" fontId="50" fillId="4" borderId="4" xfId="0" applyNumberFormat="1" applyFont="1" applyFill="1" applyBorder="1"/>
    <xf numFmtId="0" fontId="0" fillId="4" borderId="12" xfId="0" applyFill="1" applyBorder="1"/>
    <xf numFmtId="0" fontId="50" fillId="4" borderId="12" xfId="0" applyFont="1" applyFill="1" applyBorder="1" applyAlignment="1">
      <alignment wrapText="1"/>
    </xf>
    <xf numFmtId="0" fontId="0" fillId="4" borderId="36" xfId="0" applyFill="1" applyBorder="1"/>
    <xf numFmtId="0" fontId="51" fillId="3" borderId="44" xfId="0" applyFont="1" applyFill="1" applyBorder="1"/>
    <xf numFmtId="0" fontId="51" fillId="3" borderId="33" xfId="0" applyFont="1" applyFill="1" applyBorder="1"/>
    <xf numFmtId="0" fontId="51" fillId="0" borderId="33" xfId="0" applyFont="1" applyFill="1" applyBorder="1"/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7" fillId="0" borderId="73" xfId="0" applyFont="1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7" fillId="0" borderId="30" xfId="0" applyFont="1" applyBorder="1" applyAlignment="1"/>
    <xf numFmtId="0" fontId="0" fillId="0" borderId="76" xfId="0" applyBorder="1"/>
    <xf numFmtId="0" fontId="0" fillId="0" borderId="10" xfId="0" applyBorder="1"/>
    <xf numFmtId="0" fontId="0" fillId="0" borderId="77" xfId="0" applyBorder="1"/>
    <xf numFmtId="166" fontId="0" fillId="0" borderId="60" xfId="0" applyNumberFormat="1" applyBorder="1" applyAlignment="1"/>
    <xf numFmtId="166" fontId="0" fillId="0" borderId="62" xfId="0" applyNumberFormat="1" applyBorder="1" applyAlignment="1"/>
    <xf numFmtId="166" fontId="0" fillId="0" borderId="56" xfId="0" applyNumberFormat="1" applyBorder="1" applyAlignment="1"/>
    <xf numFmtId="49" fontId="0" fillId="0" borderId="4" xfId="0" applyNumberFormat="1" applyBorder="1"/>
    <xf numFmtId="0" fontId="40" fillId="0" borderId="12" xfId="0" applyFont="1" applyBorder="1" applyAlignment="1">
      <alignment wrapText="1"/>
    </xf>
    <xf numFmtId="166" fontId="40" fillId="0" borderId="12" xfId="5" applyNumberFormat="1" applyFont="1" applyBorder="1" applyAlignment="1">
      <alignment horizontal="right"/>
    </xf>
    <xf numFmtId="49" fontId="0" fillId="0" borderId="12" xfId="0" applyNumberFormat="1" applyBorder="1"/>
    <xf numFmtId="166" fontId="77" fillId="0" borderId="0" xfId="0" applyNumberFormat="1" applyFont="1" applyBorder="1" applyAlignment="1">
      <alignment horizontal="center" wrapText="1"/>
    </xf>
    <xf numFmtId="166" fontId="77" fillId="0" borderId="36" xfId="0" applyNumberFormat="1" applyFont="1" applyBorder="1" applyAlignment="1">
      <alignment horizontal="center" wrapText="1"/>
    </xf>
    <xf numFmtId="0" fontId="77" fillId="0" borderId="45" xfId="0" applyFont="1" applyBorder="1" applyAlignment="1">
      <alignment horizontal="center"/>
    </xf>
    <xf numFmtId="49" fontId="51" fillId="0" borderId="16" xfId="0" applyNumberFormat="1" applyFont="1" applyBorder="1" applyAlignment="1">
      <alignment horizontal="left" wrapText="1"/>
    </xf>
    <xf numFmtId="0" fontId="51" fillId="0" borderId="4" xfId="0" applyFont="1" applyBorder="1" applyAlignment="1"/>
    <xf numFmtId="0" fontId="50" fillId="0" borderId="12" xfId="0" applyFont="1" applyBorder="1" applyAlignment="1"/>
    <xf numFmtId="49" fontId="50" fillId="0" borderId="4" xfId="0" applyNumberFormat="1" applyFont="1" applyBorder="1"/>
    <xf numFmtId="49" fontId="51" fillId="0" borderId="5" xfId="0" applyNumberFormat="1" applyFont="1" applyBorder="1"/>
    <xf numFmtId="0" fontId="51" fillId="0" borderId="5" xfId="0" applyFont="1" applyBorder="1"/>
    <xf numFmtId="166" fontId="51" fillId="0" borderId="5" xfId="0" applyNumberFormat="1" applyFont="1" applyBorder="1" applyAlignment="1">
      <alignment horizontal="right"/>
    </xf>
    <xf numFmtId="0" fontId="51" fillId="0" borderId="4" xfId="0" applyFont="1" applyBorder="1"/>
    <xf numFmtId="0" fontId="51" fillId="0" borderId="12" xfId="0" applyFont="1" applyBorder="1"/>
    <xf numFmtId="166" fontId="56" fillId="0" borderId="2" xfId="0" applyNumberFormat="1" applyFont="1" applyBorder="1" applyAlignment="1">
      <alignment horizontal="center"/>
    </xf>
    <xf numFmtId="166" fontId="56" fillId="0" borderId="37" xfId="0" applyNumberFormat="1" applyFont="1" applyBorder="1" applyAlignment="1">
      <alignment horizontal="center"/>
    </xf>
    <xf numFmtId="166" fontId="57" fillId="0" borderId="20" xfId="0" applyNumberFormat="1" applyFont="1" applyBorder="1" applyAlignment="1">
      <alignment horizontal="right"/>
    </xf>
    <xf numFmtId="166" fontId="56" fillId="0" borderId="20" xfId="0" applyNumberFormat="1" applyFont="1" applyBorder="1" applyAlignment="1">
      <alignment horizontal="right"/>
    </xf>
    <xf numFmtId="166" fontId="55" fillId="0" borderId="30" xfId="0" applyNumberFormat="1" applyFont="1" applyFill="1" applyBorder="1" applyAlignment="1">
      <alignment horizontal="right"/>
    </xf>
    <xf numFmtId="0" fontId="56" fillId="0" borderId="0" xfId="0" applyFont="1" applyBorder="1" applyAlignment="1">
      <alignment horizontal="center"/>
    </xf>
    <xf numFmtId="166" fontId="52" fillId="0" borderId="36" xfId="0" applyNumberFormat="1" applyFont="1" applyBorder="1" applyAlignment="1">
      <alignment horizontal="right"/>
    </xf>
    <xf numFmtId="166" fontId="52" fillId="0" borderId="31" xfId="0" applyNumberFormat="1" applyFont="1" applyBorder="1" applyAlignment="1">
      <alignment horizontal="left"/>
    </xf>
    <xf numFmtId="166" fontId="54" fillId="0" borderId="48" xfId="0" applyNumberFormat="1" applyFont="1" applyBorder="1" applyAlignment="1">
      <alignment horizontal="left"/>
    </xf>
    <xf numFmtId="49" fontId="49" fillId="0" borderId="16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wrapText="1"/>
    </xf>
    <xf numFmtId="0" fontId="49" fillId="0" borderId="4" xfId="0" applyFont="1" applyBorder="1" applyAlignment="1"/>
    <xf numFmtId="49" fontId="49" fillId="0" borderId="14" xfId="0" applyNumberFormat="1" applyFont="1" applyBorder="1" applyAlignment="1">
      <alignment horizontal="center" vertical="center"/>
    </xf>
    <xf numFmtId="49" fontId="49" fillId="4" borderId="4" xfId="0" applyNumberFormat="1" applyFont="1" applyFill="1" applyBorder="1" applyAlignment="1">
      <alignment wrapText="1"/>
    </xf>
    <xf numFmtId="0" fontId="40" fillId="4" borderId="4" xfId="0" applyFont="1" applyFill="1" applyBorder="1" applyAlignment="1">
      <alignment wrapText="1"/>
    </xf>
    <xf numFmtId="166" fontId="49" fillId="4" borderId="4" xfId="0" applyNumberFormat="1" applyFont="1" applyFill="1" applyBorder="1" applyAlignment="1">
      <alignment horizontal="right"/>
    </xf>
    <xf numFmtId="0" fontId="40" fillId="4" borderId="12" xfId="0" applyFont="1" applyFill="1" applyBorder="1" applyAlignment="1">
      <alignment horizontal="center" vertical="center"/>
    </xf>
    <xf numFmtId="0" fontId="40" fillId="4" borderId="12" xfId="0" applyFont="1" applyFill="1" applyBorder="1" applyAlignment="1">
      <alignment wrapText="1"/>
    </xf>
    <xf numFmtId="0" fontId="49" fillId="4" borderId="4" xfId="0" applyFont="1" applyFill="1" applyBorder="1" applyAlignment="1">
      <alignment wrapText="1"/>
    </xf>
    <xf numFmtId="166" fontId="49" fillId="0" borderId="68" xfId="0" applyNumberFormat="1" applyFont="1" applyFill="1" applyBorder="1" applyAlignment="1">
      <alignment horizontal="right"/>
    </xf>
    <xf numFmtId="166" fontId="49" fillId="0" borderId="4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0" xfId="0" applyNumberFormat="1" applyFont="1" applyFill="1" applyBorder="1"/>
    <xf numFmtId="49" fontId="49" fillId="0" borderId="16" xfId="0" applyNumberFormat="1" applyFont="1" applyBorder="1" applyAlignment="1">
      <alignment horizontal="left" wrapText="1"/>
    </xf>
    <xf numFmtId="1" fontId="43" fillId="0" borderId="4" xfId="5" applyNumberFormat="1" applyFont="1" applyBorder="1" applyAlignment="1">
      <alignment horizontal="center" wrapText="1"/>
    </xf>
    <xf numFmtId="0" fontId="43" fillId="0" borderId="0" xfId="0" applyFont="1" applyAlignment="1"/>
    <xf numFmtId="49" fontId="43" fillId="0" borderId="16" xfId="0" applyNumberFormat="1" applyFont="1" applyBorder="1" applyAlignment="1">
      <alignment horizontal="left" wrapText="1"/>
    </xf>
    <xf numFmtId="166" fontId="43" fillId="0" borderId="43" xfId="5" applyNumberFormat="1" applyFont="1" applyBorder="1" applyAlignment="1">
      <alignment horizontal="right"/>
    </xf>
    <xf numFmtId="166" fontId="43" fillId="0" borderId="4" xfId="0" applyNumberFormat="1" applyFont="1" applyBorder="1" applyAlignment="1">
      <alignment horizontal="right"/>
    </xf>
    <xf numFmtId="49" fontId="43" fillId="0" borderId="16" xfId="0" applyNumberFormat="1" applyFont="1" applyBorder="1" applyAlignment="1">
      <alignment horizontal="center"/>
    </xf>
    <xf numFmtId="166" fontId="43" fillId="0" borderId="4" xfId="5" applyNumberFormat="1" applyFont="1" applyBorder="1" applyAlignment="1">
      <alignment horizontal="right"/>
    </xf>
    <xf numFmtId="166" fontId="43" fillId="0" borderId="4" xfId="5" applyNumberFormat="1" applyFont="1" applyFill="1" applyBorder="1" applyAlignment="1">
      <alignment horizontal="right"/>
    </xf>
    <xf numFmtId="166" fontId="43" fillId="0" borderId="43" xfId="5" applyNumberFormat="1" applyFont="1" applyFill="1" applyBorder="1" applyAlignment="1">
      <alignment horizontal="right"/>
    </xf>
    <xf numFmtId="0" fontId="43" fillId="0" borderId="4" xfId="0" applyFont="1" applyBorder="1" applyAlignment="1">
      <alignment wrapText="1"/>
    </xf>
    <xf numFmtId="166" fontId="43" fillId="0" borderId="0" xfId="0" applyNumberFormat="1" applyFont="1" applyBorder="1"/>
    <xf numFmtId="166" fontId="43" fillId="0" borderId="0" xfId="0" applyNumberFormat="1" applyFont="1" applyBorder="1" applyAlignment="1">
      <alignment horizontal="right"/>
    </xf>
    <xf numFmtId="166" fontId="43" fillId="0" borderId="0" xfId="5" applyNumberFormat="1" applyFont="1" applyFill="1" applyBorder="1" applyAlignment="1">
      <alignment horizontal="right"/>
    </xf>
    <xf numFmtId="0" fontId="43" fillId="0" borderId="0" xfId="0" applyFont="1" applyBorder="1" applyAlignment="1"/>
    <xf numFmtId="0" fontId="43" fillId="0" borderId="0" xfId="0" applyFont="1" applyFill="1" applyBorder="1" applyAlignment="1"/>
    <xf numFmtId="0" fontId="43" fillId="0" borderId="0" xfId="0" applyFont="1" applyFill="1" applyBorder="1"/>
    <xf numFmtId="166" fontId="49" fillId="0" borderId="0" xfId="0" applyNumberFormat="1" applyFont="1" applyFill="1" applyBorder="1" applyAlignment="1">
      <alignment horizontal="right"/>
    </xf>
    <xf numFmtId="0" fontId="43" fillId="0" borderId="12" xfId="0" applyFont="1" applyBorder="1" applyAlignment="1"/>
    <xf numFmtId="49" fontId="49" fillId="0" borderId="14" xfId="0" applyNumberFormat="1" applyFont="1" applyBorder="1" applyAlignment="1">
      <alignment horizontal="center"/>
    </xf>
    <xf numFmtId="166" fontId="43" fillId="0" borderId="5" xfId="0" applyNumberFormat="1" applyFont="1" applyBorder="1" applyAlignment="1">
      <alignment horizontal="right"/>
    </xf>
    <xf numFmtId="49" fontId="43" fillId="0" borderId="11" xfId="0" applyNumberFormat="1" applyFont="1" applyBorder="1" applyAlignment="1">
      <alignment horizontal="center"/>
    </xf>
    <xf numFmtId="166" fontId="43" fillId="0" borderId="12" xfId="5" applyNumberFormat="1" applyFont="1" applyBorder="1" applyAlignment="1">
      <alignment horizontal="right"/>
    </xf>
    <xf numFmtId="166" fontId="43" fillId="0" borderId="12" xfId="0" applyNumberFormat="1" applyFont="1" applyBorder="1" applyAlignment="1">
      <alignment horizontal="right"/>
    </xf>
    <xf numFmtId="166" fontId="43" fillId="0" borderId="5" xfId="5" applyNumberFormat="1" applyFont="1" applyBorder="1" applyAlignment="1">
      <alignment horizontal="right"/>
    </xf>
    <xf numFmtId="166" fontId="43" fillId="0" borderId="5" xfId="5" applyNumberFormat="1" applyFont="1" applyFill="1" applyBorder="1" applyAlignment="1">
      <alignment horizontal="right"/>
    </xf>
    <xf numFmtId="49" fontId="49" fillId="4" borderId="44" xfId="0" applyNumberFormat="1" applyFont="1" applyFill="1" applyBorder="1"/>
    <xf numFmtId="0" fontId="43" fillId="4" borderId="4" xfId="0" applyFont="1" applyFill="1" applyBorder="1" applyAlignment="1"/>
    <xf numFmtId="166" fontId="49" fillId="4" borderId="6" xfId="0" applyNumberFormat="1" applyFont="1" applyFill="1" applyBorder="1" applyAlignment="1">
      <alignment horizontal="right"/>
    </xf>
    <xf numFmtId="166" fontId="49" fillId="0" borderId="26" xfId="0" applyNumberFormat="1" applyFont="1" applyFill="1" applyBorder="1" applyAlignment="1">
      <alignment horizontal="right"/>
    </xf>
    <xf numFmtId="1" fontId="49" fillId="4" borderId="23" xfId="5" applyNumberFormat="1" applyFont="1" applyFill="1" applyBorder="1" applyAlignment="1">
      <alignment horizontal="right"/>
    </xf>
    <xf numFmtId="0" fontId="43" fillId="0" borderId="14" xfId="0" applyFont="1" applyBorder="1" applyAlignment="1">
      <alignment horizontal="center"/>
    </xf>
    <xf numFmtId="0" fontId="43" fillId="0" borderId="5" xfId="0" applyFont="1" applyBorder="1" applyAlignment="1">
      <alignment wrapText="1"/>
    </xf>
    <xf numFmtId="1" fontId="49" fillId="4" borderId="15" xfId="5" applyNumberFormat="1" applyFont="1" applyFill="1" applyBorder="1" applyAlignment="1">
      <alignment horizontal="right"/>
    </xf>
    <xf numFmtId="49" fontId="49" fillId="4" borderId="48" xfId="0" applyNumberFormat="1" applyFont="1" applyFill="1" applyBorder="1"/>
    <xf numFmtId="0" fontId="43" fillId="4" borderId="12" xfId="0" applyFont="1" applyFill="1" applyBorder="1" applyAlignment="1"/>
    <xf numFmtId="1" fontId="43" fillId="0" borderId="22" xfId="5" applyNumberFormat="1" applyFont="1" applyFill="1" applyBorder="1" applyAlignment="1">
      <alignment horizontal="right"/>
    </xf>
    <xf numFmtId="0" fontId="49" fillId="0" borderId="0" xfId="0" applyFont="1"/>
    <xf numFmtId="0" fontId="49" fillId="4" borderId="33" xfId="0" applyFont="1" applyFill="1" applyBorder="1"/>
    <xf numFmtId="0" fontId="49" fillId="4" borderId="68" xfId="0" applyFont="1" applyFill="1" applyBorder="1"/>
    <xf numFmtId="0" fontId="49" fillId="4" borderId="5" xfId="0" applyFont="1" applyFill="1" applyBorder="1"/>
    <xf numFmtId="0" fontId="49" fillId="4" borderId="4" xfId="0" applyFont="1" applyFill="1" applyBorder="1"/>
    <xf numFmtId="0" fontId="49" fillId="4" borderId="4" xfId="0" applyFont="1" applyFill="1" applyBorder="1" applyAlignment="1"/>
    <xf numFmtId="165" fontId="49" fillId="4" borderId="4" xfId="0" applyNumberFormat="1" applyFont="1" applyFill="1" applyBorder="1"/>
    <xf numFmtId="165" fontId="49" fillId="0" borderId="0" xfId="0" applyNumberFormat="1" applyFont="1" applyBorder="1"/>
    <xf numFmtId="165" fontId="49" fillId="0" borderId="0" xfId="0" applyNumberFormat="1" applyFont="1" applyFill="1" applyBorder="1"/>
    <xf numFmtId="165" fontId="49" fillId="0" borderId="0" xfId="0" applyNumberFormat="1" applyFont="1"/>
    <xf numFmtId="165" fontId="49" fillId="0" borderId="0" xfId="0" applyNumberFormat="1" applyFont="1" applyFill="1"/>
    <xf numFmtId="0" fontId="49" fillId="4" borderId="12" xfId="0" applyFont="1" applyFill="1" applyBorder="1"/>
    <xf numFmtId="0" fontId="49" fillId="4" borderId="12" xfId="0" applyFont="1" applyFill="1" applyBorder="1" applyAlignment="1"/>
    <xf numFmtId="165" fontId="49" fillId="4" borderId="12" xfId="0" applyNumberFormat="1" applyFont="1" applyFill="1" applyBorder="1"/>
    <xf numFmtId="165" fontId="49" fillId="0" borderId="5" xfId="0" applyNumberFormat="1" applyFont="1" applyFill="1" applyBorder="1"/>
    <xf numFmtId="1" fontId="49" fillId="0" borderId="5" xfId="5" applyNumberFormat="1" applyFont="1" applyFill="1" applyBorder="1" applyAlignment="1">
      <alignment horizontal="right"/>
    </xf>
    <xf numFmtId="0" fontId="0" fillId="0" borderId="33" xfId="0" applyBorder="1"/>
    <xf numFmtId="0" fontId="0" fillId="0" borderId="46" xfId="0" applyBorder="1"/>
    <xf numFmtId="49" fontId="66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49" fontId="40" fillId="0" borderId="19" xfId="0" applyNumberFormat="1" applyFont="1" applyBorder="1" applyAlignment="1">
      <alignment horizontal="center"/>
    </xf>
    <xf numFmtId="1" fontId="40" fillId="0" borderId="6" xfId="5" applyNumberFormat="1" applyFont="1" applyBorder="1" applyAlignment="1">
      <alignment horizontal="right"/>
    </xf>
    <xf numFmtId="1" fontId="49" fillId="0" borderId="0" xfId="5" applyNumberFormat="1" applyFont="1" applyBorder="1" applyAlignment="1">
      <alignment horizontal="right"/>
    </xf>
    <xf numFmtId="49" fontId="66" fillId="0" borderId="2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right"/>
    </xf>
    <xf numFmtId="49" fontId="40" fillId="0" borderId="2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right"/>
    </xf>
    <xf numFmtId="49" fontId="49" fillId="0" borderId="16" xfId="0" applyNumberFormat="1" applyFont="1" applyBorder="1" applyAlignment="1">
      <alignment horizontal="center"/>
    </xf>
    <xf numFmtId="0" fontId="49" fillId="0" borderId="4" xfId="0" quotePrefix="1" applyFont="1" applyBorder="1" applyAlignment="1">
      <alignment horizontal="left"/>
    </xf>
    <xf numFmtId="0" fontId="49" fillId="0" borderId="4" xfId="0" applyFont="1" applyBorder="1"/>
    <xf numFmtId="0" fontId="49" fillId="0" borderId="5" xfId="0" applyFont="1" applyBorder="1"/>
    <xf numFmtId="1" fontId="42" fillId="0" borderId="15" xfId="5" applyNumberFormat="1" applyFont="1" applyBorder="1" applyAlignment="1">
      <alignment horizontal="right"/>
    </xf>
    <xf numFmtId="0" fontId="40" fillId="0" borderId="12" xfId="0" applyFont="1" applyBorder="1" applyAlignment="1">
      <alignment horizontal="left"/>
    </xf>
    <xf numFmtId="1" fontId="40" fillId="0" borderId="12" xfId="5" applyNumberFormat="1" applyFont="1" applyBorder="1" applyAlignment="1">
      <alignment horizontal="right"/>
    </xf>
    <xf numFmtId="49" fontId="66" fillId="0" borderId="17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right"/>
    </xf>
    <xf numFmtId="0" fontId="49" fillId="0" borderId="4" xfId="0" applyFont="1" applyBorder="1" applyAlignment="1">
      <alignment horizontal="left"/>
    </xf>
    <xf numFmtId="0" fontId="49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wrapText="1"/>
    </xf>
    <xf numFmtId="0" fontId="40" fillId="3" borderId="12" xfId="0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right"/>
    </xf>
    <xf numFmtId="1" fontId="42" fillId="0" borderId="15" xfId="5" applyNumberFormat="1" applyFont="1" applyFill="1" applyBorder="1" applyAlignment="1">
      <alignment horizontal="right"/>
    </xf>
    <xf numFmtId="0" fontId="7" fillId="3" borderId="48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40" fillId="3" borderId="5" xfId="0" applyFont="1" applyFill="1" applyBorder="1" applyAlignment="1">
      <alignment horizontal="left"/>
    </xf>
    <xf numFmtId="1" fontId="7" fillId="3" borderId="5" xfId="0" applyNumberFormat="1" applyFont="1" applyFill="1" applyBorder="1" applyAlignment="1">
      <alignment horizontal="right"/>
    </xf>
    <xf numFmtId="1" fontId="7" fillId="0" borderId="52" xfId="0" applyNumberFormat="1" applyFont="1" applyFill="1" applyBorder="1" applyAlignment="1">
      <alignment horizontal="right"/>
    </xf>
    <xf numFmtId="1" fontId="42" fillId="0" borderId="13" xfId="5" applyNumberFormat="1" applyFont="1" applyFill="1" applyBorder="1" applyAlignment="1">
      <alignment horizontal="right"/>
    </xf>
    <xf numFmtId="1" fontId="78" fillId="3" borderId="23" xfId="5" applyNumberFormat="1" applyFont="1" applyFill="1" applyBorder="1" applyAlignment="1">
      <alignment horizontal="right"/>
    </xf>
    <xf numFmtId="1" fontId="78" fillId="3" borderId="13" xfId="5" applyNumberFormat="1" applyFont="1" applyFill="1" applyBorder="1" applyAlignment="1">
      <alignment horizontal="right"/>
    </xf>
    <xf numFmtId="1" fontId="78" fillId="3" borderId="15" xfId="5" applyNumberFormat="1" applyFont="1" applyFill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49" fontId="66" fillId="0" borderId="4" xfId="0" applyNumberFormat="1" applyFont="1" applyBorder="1" applyAlignment="1">
      <alignment horizontal="center"/>
    </xf>
    <xf numFmtId="0" fontId="0" fillId="0" borderId="12" xfId="0" applyFill="1" applyBorder="1"/>
    <xf numFmtId="1" fontId="7" fillId="0" borderId="23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7" fillId="3" borderId="44" xfId="0" applyFont="1" applyFill="1" applyBorder="1" applyAlignment="1">
      <alignment wrapText="1"/>
    </xf>
    <xf numFmtId="1" fontId="78" fillId="0" borderId="15" xfId="5" applyNumberFormat="1" applyFont="1" applyFill="1" applyBorder="1" applyAlignment="1">
      <alignment horizontal="right"/>
    </xf>
    <xf numFmtId="49" fontId="40" fillId="0" borderId="78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1" fontId="40" fillId="0" borderId="52" xfId="5" applyNumberFormat="1" applyFont="1" applyBorder="1" applyAlignment="1">
      <alignment horizontal="right"/>
    </xf>
    <xf numFmtId="165" fontId="7" fillId="3" borderId="4" xfId="0" applyNumberFormat="1" applyFont="1" applyFill="1" applyBorder="1"/>
    <xf numFmtId="1" fontId="7" fillId="0" borderId="53" xfId="0" applyNumberFormat="1" applyFont="1" applyFill="1" applyBorder="1" applyAlignment="1">
      <alignment horizontal="right"/>
    </xf>
    <xf numFmtId="0" fontId="7" fillId="3" borderId="12" xfId="0" applyFont="1" applyFill="1" applyBorder="1"/>
    <xf numFmtId="0" fontId="49" fillId="3" borderId="12" xfId="0" applyFont="1" applyFill="1" applyBorder="1" applyAlignment="1">
      <alignment horizontal="left"/>
    </xf>
    <xf numFmtId="165" fontId="7" fillId="3" borderId="23" xfId="0" applyNumberFormat="1" applyFont="1" applyFill="1" applyBorder="1"/>
    <xf numFmtId="0" fontId="40" fillId="0" borderId="1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49" fillId="0" borderId="28" xfId="0" applyFont="1" applyBorder="1" applyAlignment="1">
      <alignment wrapText="1"/>
    </xf>
    <xf numFmtId="49" fontId="49" fillId="0" borderId="14" xfId="0" applyNumberFormat="1" applyFont="1" applyBorder="1" applyAlignment="1">
      <alignment horizontal="center" vertical="center" wrapText="1"/>
    </xf>
    <xf numFmtId="0" fontId="49" fillId="0" borderId="28" xfId="0" applyFont="1" applyBorder="1" applyAlignment="1">
      <alignment horizontal="left" vertical="center"/>
    </xf>
    <xf numFmtId="49" fontId="49" fillId="0" borderId="27" xfId="0" applyNumberFormat="1" applyFont="1" applyBorder="1" applyAlignment="1">
      <alignment horizontal="center" vertical="center"/>
    </xf>
    <xf numFmtId="0" fontId="40" fillId="0" borderId="65" xfId="0" applyFont="1" applyBorder="1" applyAlignment="1">
      <alignment wrapText="1"/>
    </xf>
    <xf numFmtId="1" fontId="40" fillId="0" borderId="13" xfId="5" applyNumberFormat="1" applyFont="1" applyBorder="1" applyAlignment="1">
      <alignment horizontal="right"/>
    </xf>
    <xf numFmtId="0" fontId="40" fillId="0" borderId="66" xfId="0" applyFont="1" applyBorder="1" applyAlignment="1">
      <alignment wrapText="1"/>
    </xf>
    <xf numFmtId="1" fontId="43" fillId="0" borderId="22" xfId="5" applyNumberFormat="1" applyFont="1" applyFill="1" applyBorder="1" applyAlignment="1">
      <alignment horizontal="right" vertical="center"/>
    </xf>
    <xf numFmtId="49" fontId="43" fillId="0" borderId="11" xfId="0" applyNumberFormat="1" applyFont="1" applyBorder="1" applyAlignment="1">
      <alignment horizontal="center" vertical="center" wrapText="1"/>
    </xf>
    <xf numFmtId="1" fontId="43" fillId="0" borderId="12" xfId="5" applyNumberFormat="1" applyFont="1" applyBorder="1" applyAlignment="1">
      <alignment horizontal="right" vertical="center" wrapText="1"/>
    </xf>
    <xf numFmtId="1" fontId="43" fillId="0" borderId="53" xfId="5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wrapText="1"/>
    </xf>
    <xf numFmtId="0" fontId="40" fillId="3" borderId="4" xfId="0" applyFont="1" applyFill="1" applyBorder="1" applyAlignment="1">
      <alignment wrapText="1"/>
    </xf>
    <xf numFmtId="1" fontId="7" fillId="0" borderId="68" xfId="0" applyNumberFormat="1" applyFont="1" applyFill="1" applyBorder="1" applyAlignment="1">
      <alignment horizontal="right"/>
    </xf>
    <xf numFmtId="1" fontId="40" fillId="0" borderId="53" xfId="5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40" fillId="3" borderId="12" xfId="0" applyFont="1" applyFill="1" applyBorder="1" applyAlignment="1">
      <alignment wrapText="1"/>
    </xf>
    <xf numFmtId="49" fontId="43" fillId="0" borderId="78" xfId="0" applyNumberFormat="1" applyFont="1" applyBorder="1" applyAlignment="1">
      <alignment horizontal="center" vertical="center"/>
    </xf>
    <xf numFmtId="1" fontId="41" fillId="0" borderId="12" xfId="5" applyNumberFormat="1" applyFont="1" applyBorder="1" applyAlignment="1">
      <alignment horizontal="center" vertical="center" wrapText="1"/>
    </xf>
    <xf numFmtId="0" fontId="40" fillId="3" borderId="28" xfId="0" applyFont="1" applyFill="1" applyBorder="1" applyAlignment="1">
      <alignment wrapText="1"/>
    </xf>
    <xf numFmtId="1" fontId="7" fillId="3" borderId="15" xfId="0" applyNumberFormat="1" applyFont="1" applyFill="1" applyBorder="1" applyAlignment="1">
      <alignment horizontal="right"/>
    </xf>
    <xf numFmtId="0" fontId="40" fillId="3" borderId="66" xfId="0" applyFont="1" applyFill="1" applyBorder="1" applyAlignment="1">
      <alignment wrapText="1"/>
    </xf>
    <xf numFmtId="1" fontId="40" fillId="3" borderId="15" xfId="5" applyNumberFormat="1" applyFont="1" applyFill="1" applyBorder="1" applyAlignment="1">
      <alignment horizontal="right"/>
    </xf>
    <xf numFmtId="1" fontId="40" fillId="3" borderId="13" xfId="5" applyNumberFormat="1" applyFont="1" applyFill="1" applyBorder="1" applyAlignment="1">
      <alignment horizontal="right"/>
    </xf>
    <xf numFmtId="1" fontId="7" fillId="0" borderId="26" xfId="0" applyNumberFormat="1" applyFont="1" applyFill="1" applyBorder="1" applyAlignment="1">
      <alignment horizontal="right"/>
    </xf>
    <xf numFmtId="1" fontId="40" fillId="0" borderId="22" xfId="5" applyNumberFormat="1" applyFont="1" applyFill="1" applyBorder="1" applyAlignment="1">
      <alignment horizontal="right"/>
    </xf>
    <xf numFmtId="1" fontId="43" fillId="3" borderId="15" xfId="5" applyNumberFormat="1" applyFont="1" applyFill="1" applyBorder="1" applyAlignment="1">
      <alignment horizontal="right" vertical="center"/>
    </xf>
    <xf numFmtId="1" fontId="43" fillId="3" borderId="13" xfId="5" applyNumberFormat="1" applyFont="1" applyFill="1" applyBorder="1" applyAlignment="1">
      <alignment horizontal="right" vertical="center"/>
    </xf>
    <xf numFmtId="49" fontId="0" fillId="3" borderId="4" xfId="0" applyNumberFormat="1" applyFill="1" applyBorder="1"/>
    <xf numFmtId="49" fontId="40" fillId="0" borderId="4" xfId="0" applyNumberFormat="1" applyFont="1" applyBorder="1" applyAlignment="1">
      <alignment horizontal="center"/>
    </xf>
    <xf numFmtId="1" fontId="43" fillId="0" borderId="12" xfId="5" applyNumberFormat="1" applyFont="1" applyBorder="1" applyAlignment="1">
      <alignment horizontal="left" vertical="center" wrapText="1"/>
    </xf>
    <xf numFmtId="1" fontId="43" fillId="0" borderId="70" xfId="5" applyNumberFormat="1" applyFont="1" applyFill="1" applyBorder="1" applyAlignment="1">
      <alignment horizontal="right" vertical="center"/>
    </xf>
    <xf numFmtId="1" fontId="41" fillId="0" borderId="12" xfId="5" applyNumberFormat="1" applyFont="1" applyBorder="1" applyAlignment="1">
      <alignment horizontal="right" vertical="center" wrapText="1"/>
    </xf>
    <xf numFmtId="49" fontId="0" fillId="3" borderId="12" xfId="0" applyNumberFormat="1" applyFill="1" applyBorder="1"/>
    <xf numFmtId="1" fontId="40" fillId="0" borderId="70" xfId="5" applyNumberFormat="1" applyFont="1" applyFill="1" applyBorder="1" applyAlignment="1">
      <alignment horizontal="right"/>
    </xf>
    <xf numFmtId="1" fontId="49" fillId="0" borderId="70" xfId="5" applyNumberFormat="1" applyFont="1" applyFill="1" applyBorder="1" applyAlignment="1">
      <alignment horizontal="right"/>
    </xf>
    <xf numFmtId="49" fontId="43" fillId="0" borderId="19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6" xfId="5" applyNumberFormat="1" applyFont="1" applyBorder="1" applyAlignment="1">
      <alignment horizontal="right" vertical="center" wrapText="1"/>
    </xf>
    <xf numFmtId="0" fontId="49" fillId="0" borderId="28" xfId="0" applyFont="1" applyBorder="1"/>
    <xf numFmtId="0" fontId="43" fillId="0" borderId="4" xfId="0" applyFont="1" applyBorder="1" applyAlignment="1">
      <alignment horizontal="left" vertical="center"/>
    </xf>
    <xf numFmtId="49" fontId="43" fillId="0" borderId="4" xfId="0" applyNumberFormat="1" applyFont="1" applyBorder="1" applyAlignment="1">
      <alignment horizontal="center" vertical="center"/>
    </xf>
    <xf numFmtId="0" fontId="43" fillId="0" borderId="4" xfId="5" applyNumberFormat="1" applyFont="1" applyBorder="1" applyAlignment="1">
      <alignment horizontal="right" vertical="center" wrapText="1"/>
    </xf>
    <xf numFmtId="1" fontId="43" fillId="0" borderId="4" xfId="5" applyNumberFormat="1" applyFont="1" applyBorder="1" applyAlignment="1">
      <alignment horizontal="right" vertical="center" wrapText="1"/>
    </xf>
    <xf numFmtId="49" fontId="43" fillId="0" borderId="11" xfId="0" applyNumberFormat="1" applyFont="1" applyBorder="1" applyAlignment="1">
      <alignment horizontal="center" vertical="center"/>
    </xf>
    <xf numFmtId="0" fontId="43" fillId="0" borderId="65" xfId="0" applyFont="1" applyBorder="1" applyAlignment="1">
      <alignment horizontal="left" vertical="center"/>
    </xf>
    <xf numFmtId="0" fontId="43" fillId="0" borderId="12" xfId="5" applyNumberFormat="1" applyFont="1" applyBorder="1" applyAlignment="1">
      <alignment horizontal="right" vertical="center" wrapText="1"/>
    </xf>
    <xf numFmtId="0" fontId="43" fillId="0" borderId="12" xfId="0" applyFont="1" applyBorder="1" applyAlignment="1">
      <alignment horizontal="left" vertical="center"/>
    </xf>
    <xf numFmtId="0" fontId="43" fillId="0" borderId="10" xfId="5" applyNumberFormat="1" applyFont="1" applyFill="1" applyBorder="1" applyAlignment="1">
      <alignment horizontal="right" vertical="center"/>
    </xf>
    <xf numFmtId="49" fontId="0" fillId="0" borderId="27" xfId="0" applyNumberFormat="1" applyBorder="1"/>
    <xf numFmtId="49" fontId="43" fillId="0" borderId="14" xfId="0" applyNumberFormat="1" applyFont="1" applyBorder="1" applyAlignment="1">
      <alignment horizontal="center" vertical="center"/>
    </xf>
    <xf numFmtId="0" fontId="43" fillId="3" borderId="15" xfId="5" applyNumberFormat="1" applyFont="1" applyFill="1" applyBorder="1" applyAlignment="1">
      <alignment horizontal="right" vertical="center"/>
    </xf>
    <xf numFmtId="0" fontId="43" fillId="3" borderId="13" xfId="5" applyNumberFormat="1" applyFont="1" applyFill="1" applyBorder="1" applyAlignment="1">
      <alignment horizontal="right" vertical="center"/>
    </xf>
    <xf numFmtId="0" fontId="43" fillId="3" borderId="4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horizontal="left" vertical="center"/>
    </xf>
    <xf numFmtId="49" fontId="7" fillId="3" borderId="12" xfId="0" applyNumberFormat="1" applyFont="1" applyFill="1" applyBorder="1"/>
    <xf numFmtId="0" fontId="49" fillId="3" borderId="15" xfId="5" applyNumberFormat="1" applyFont="1" applyFill="1" applyBorder="1" applyAlignment="1">
      <alignment horizontal="right" vertical="center"/>
    </xf>
    <xf numFmtId="0" fontId="49" fillId="3" borderId="13" xfId="5" applyNumberFormat="1" applyFont="1" applyFill="1" applyBorder="1" applyAlignment="1">
      <alignment horizontal="right" vertical="center"/>
    </xf>
    <xf numFmtId="0" fontId="49" fillId="0" borderId="10" xfId="5" applyNumberFormat="1" applyFont="1" applyFill="1" applyBorder="1" applyAlignment="1">
      <alignment horizontal="right" vertical="center"/>
    </xf>
    <xf numFmtId="164" fontId="41" fillId="0" borderId="79" xfId="5" applyNumberFormat="1" applyFont="1" applyBorder="1" applyAlignment="1">
      <alignment horizontal="center" vertical="center" wrapText="1"/>
    </xf>
    <xf numFmtId="1" fontId="40" fillId="0" borderId="62" xfId="5" applyNumberFormat="1" applyFont="1" applyBorder="1" applyAlignment="1">
      <alignment horizontal="right"/>
    </xf>
    <xf numFmtId="1" fontId="40" fillId="0" borderId="56" xfId="5" applyNumberFormat="1" applyFont="1" applyBorder="1" applyAlignment="1">
      <alignment horizontal="right"/>
    </xf>
    <xf numFmtId="1" fontId="2" fillId="0" borderId="60" xfId="0" applyNumberFormat="1" applyFont="1" applyBorder="1" applyAlignment="1">
      <alignment horizontal="right"/>
    </xf>
    <xf numFmtId="1" fontId="2" fillId="0" borderId="62" xfId="0" applyNumberFormat="1" applyFont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" fontId="7" fillId="3" borderId="62" xfId="0" applyNumberFormat="1" applyFont="1" applyFill="1" applyBorder="1" applyAlignment="1">
      <alignment horizontal="right"/>
    </xf>
    <xf numFmtId="1" fontId="41" fillId="0" borderId="62" xfId="5" applyNumberFormat="1" applyFont="1" applyBorder="1" applyAlignment="1">
      <alignment horizontal="center" vertical="center" wrapText="1"/>
    </xf>
    <xf numFmtId="1" fontId="40" fillId="0" borderId="60" xfId="5" applyNumberFormat="1" applyFont="1" applyBorder="1" applyAlignment="1">
      <alignment horizontal="right"/>
    </xf>
    <xf numFmtId="1" fontId="7" fillId="0" borderId="64" xfId="0" applyNumberFormat="1" applyFont="1" applyFill="1" applyBorder="1" applyAlignment="1">
      <alignment horizontal="right"/>
    </xf>
    <xf numFmtId="164" fontId="41" fillId="0" borderId="60" xfId="5" applyNumberFormat="1" applyFont="1" applyBorder="1" applyAlignment="1">
      <alignment horizontal="center" vertical="center" wrapText="1"/>
    </xf>
    <xf numFmtId="0" fontId="43" fillId="0" borderId="60" xfId="5" applyNumberFormat="1" applyFont="1" applyBorder="1" applyAlignment="1">
      <alignment horizontal="right" vertical="center" wrapText="1"/>
    </xf>
    <xf numFmtId="1" fontId="7" fillId="3" borderId="60" xfId="0" applyNumberFormat="1" applyFont="1" applyFill="1" applyBorder="1" applyAlignment="1">
      <alignment horizontal="right"/>
    </xf>
    <xf numFmtId="1" fontId="41" fillId="0" borderId="60" xfId="5" applyNumberFormat="1" applyFont="1" applyBorder="1" applyAlignment="1">
      <alignment horizontal="center" vertical="center" wrapText="1"/>
    </xf>
    <xf numFmtId="1" fontId="0" fillId="0" borderId="62" xfId="0" applyNumberFormat="1" applyBorder="1" applyAlignment="1">
      <alignment horizontal="right"/>
    </xf>
    <xf numFmtId="1" fontId="0" fillId="0" borderId="60" xfId="0" applyNumberFormat="1" applyBorder="1" applyAlignment="1">
      <alignment horizontal="right"/>
    </xf>
    <xf numFmtId="1" fontId="43" fillId="0" borderId="60" xfId="5" applyNumberFormat="1" applyFont="1" applyBorder="1" applyAlignment="1">
      <alignment horizontal="right" vertical="center" wrapText="1"/>
    </xf>
    <xf numFmtId="165" fontId="7" fillId="3" borderId="62" xfId="0" applyNumberFormat="1" applyFont="1" applyFill="1" applyBorder="1"/>
    <xf numFmtId="166" fontId="57" fillId="0" borderId="44" xfId="0" applyNumberFormat="1" applyFont="1" applyBorder="1" applyAlignment="1">
      <alignment horizontal="left"/>
    </xf>
    <xf numFmtId="0" fontId="7" fillId="0" borderId="74" xfId="0" applyFont="1" applyBorder="1"/>
    <xf numFmtId="166" fontId="0" fillId="0" borderId="0" xfId="0" applyNumberFormat="1" applyBorder="1" applyAlignment="1"/>
    <xf numFmtId="166" fontId="0" fillId="0" borderId="19" xfId="0" applyNumberFormat="1" applyBorder="1" applyAlignment="1"/>
    <xf numFmtId="166" fontId="8" fillId="0" borderId="17" xfId="0" applyNumberFormat="1" applyFont="1" applyBorder="1" applyAlignment="1"/>
    <xf numFmtId="166" fontId="8" fillId="0" borderId="0" xfId="0" applyNumberFormat="1" applyFont="1" applyAlignment="1"/>
    <xf numFmtId="3" fontId="0" fillId="0" borderId="12" xfId="0" applyNumberFormat="1" applyBorder="1"/>
    <xf numFmtId="0" fontId="7" fillId="0" borderId="52" xfId="0" applyFont="1" applyBorder="1"/>
    <xf numFmtId="0" fontId="60" fillId="0" borderId="0" xfId="0" applyFont="1" applyFill="1" applyBorder="1" applyAlignment="1">
      <alignment horizontal="center" wrapText="1"/>
    </xf>
    <xf numFmtId="0" fontId="77" fillId="0" borderId="0" xfId="0" applyFont="1" applyBorder="1" applyAlignment="1">
      <alignment horizontal="center"/>
    </xf>
    <xf numFmtId="6" fontId="63" fillId="0" borderId="0" xfId="0" applyNumberFormat="1" applyFont="1" applyBorder="1"/>
    <xf numFmtId="6" fontId="59" fillId="0" borderId="0" xfId="0" applyNumberFormat="1" applyFont="1" applyBorder="1"/>
    <xf numFmtId="166" fontId="58" fillId="0" borderId="62" xfId="0" applyNumberFormat="1" applyFont="1" applyBorder="1"/>
    <xf numFmtId="166" fontId="58" fillId="0" borderId="56" xfId="0" applyNumberFormat="1" applyFont="1" applyBorder="1"/>
    <xf numFmtId="0" fontId="58" fillId="0" borderId="30" xfId="0" applyFont="1" applyBorder="1"/>
    <xf numFmtId="166" fontId="58" fillId="0" borderId="30" xfId="0" applyNumberFormat="1" applyFont="1" applyBorder="1"/>
    <xf numFmtId="166" fontId="63" fillId="0" borderId="0" xfId="0" applyNumberFormat="1" applyFont="1" applyBorder="1"/>
    <xf numFmtId="6" fontId="63" fillId="0" borderId="75" xfId="0" applyNumberFormat="1" applyFont="1" applyBorder="1"/>
    <xf numFmtId="6" fontId="59" fillId="0" borderId="73" xfId="0" applyNumberFormat="1" applyFont="1" applyBorder="1"/>
    <xf numFmtId="166" fontId="58" fillId="0" borderId="0" xfId="0" applyNumberFormat="1" applyFont="1" applyBorder="1"/>
    <xf numFmtId="166" fontId="8" fillId="0" borderId="44" xfId="0" applyNumberFormat="1" applyFont="1" applyBorder="1" applyAlignment="1"/>
    <xf numFmtId="6" fontId="64" fillId="0" borderId="44" xfId="0" applyNumberFormat="1" applyFont="1" applyBorder="1"/>
    <xf numFmtId="166" fontId="16" fillId="0" borderId="0" xfId="0" applyNumberFormat="1" applyFont="1" applyBorder="1"/>
    <xf numFmtId="166" fontId="40" fillId="0" borderId="9" xfId="5" applyNumberFormat="1" applyFont="1" applyBorder="1" applyAlignment="1">
      <alignment horizontal="right"/>
    </xf>
    <xf numFmtId="0" fontId="0" fillId="0" borderId="0" xfId="0" applyBorder="1" applyAlignment="1"/>
    <xf numFmtId="0" fontId="7" fillId="0" borderId="0" xfId="0" applyFont="1" applyFill="1" applyBorder="1"/>
    <xf numFmtId="1" fontId="47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39" fillId="0" borderId="44" xfId="0" applyNumberFormat="1" applyFont="1" applyBorder="1"/>
    <xf numFmtId="1" fontId="7" fillId="0" borderId="0" xfId="0" applyNumberFormat="1" applyFont="1" applyBorder="1"/>
    <xf numFmtId="1" fontId="7" fillId="0" borderId="0" xfId="0" quotePrefix="1" applyNumberFormat="1" applyFont="1" applyBorder="1" applyAlignment="1">
      <alignment horizontal="left"/>
    </xf>
    <xf numFmtId="1" fontId="47" fillId="0" borderId="44" xfId="0" applyNumberFormat="1" applyFont="1" applyBorder="1" applyAlignment="1">
      <alignment horizontal="left"/>
    </xf>
    <xf numFmtId="1" fontId="39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66" fontId="0" fillId="0" borderId="64" xfId="0" applyNumberFormat="1" applyBorder="1" applyAlignment="1"/>
    <xf numFmtId="166" fontId="7" fillId="0" borderId="0" xfId="0" applyNumberFormat="1" applyFont="1" applyBorder="1" applyAlignment="1"/>
    <xf numFmtId="165" fontId="0" fillId="0" borderId="0" xfId="0" applyNumberFormat="1" applyBorder="1" applyAlignment="1"/>
    <xf numFmtId="1" fontId="9" fillId="0" borderId="62" xfId="0" applyNumberFormat="1" applyFont="1" applyBorder="1"/>
    <xf numFmtId="1" fontId="4" fillId="0" borderId="0" xfId="0" applyNumberFormat="1" applyFont="1" applyBorder="1"/>
    <xf numFmtId="1" fontId="9" fillId="0" borderId="0" xfId="0" applyNumberFormat="1" applyFont="1" applyBorder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 applyBorder="1"/>
    <xf numFmtId="1" fontId="14" fillId="0" borderId="3" xfId="0" applyNumberFormat="1" applyFont="1" applyBorder="1"/>
    <xf numFmtId="1" fontId="14" fillId="0" borderId="0" xfId="0" applyNumberFormat="1" applyFont="1" applyBorder="1"/>
    <xf numFmtId="1" fontId="14" fillId="0" borderId="50" xfId="0" applyNumberFormat="1" applyFont="1" applyBorder="1"/>
    <xf numFmtId="1" fontId="14" fillId="0" borderId="2" xfId="0" applyNumberFormat="1" applyFont="1" applyBorder="1"/>
    <xf numFmtId="0" fontId="0" fillId="0" borderId="0" xfId="0" applyAlignment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wrapText="1"/>
    </xf>
    <xf numFmtId="3" fontId="8" fillId="0" borderId="4" xfId="0" applyNumberFormat="1" applyFont="1" applyBorder="1"/>
    <xf numFmtId="0" fontId="0" fillId="0" borderId="0" xfId="0" applyAlignment="1"/>
    <xf numFmtId="1" fontId="50" fillId="0" borderId="4" xfId="0" applyNumberFormat="1" applyFont="1" applyBorder="1"/>
    <xf numFmtId="0" fontId="52" fillId="0" borderId="30" xfId="0" applyFont="1" applyBorder="1" applyAlignment="1">
      <alignment horizontal="center"/>
    </xf>
    <xf numFmtId="10" fontId="43" fillId="0" borderId="12" xfId="0" applyNumberFormat="1" applyFont="1" applyBorder="1"/>
    <xf numFmtId="166" fontId="52" fillId="0" borderId="48" xfId="0" applyNumberFormat="1" applyFont="1" applyBorder="1" applyAlignment="1">
      <alignment horizontal="left"/>
    </xf>
    <xf numFmtId="166" fontId="52" fillId="0" borderId="30" xfId="0" applyNumberFormat="1" applyFont="1" applyBorder="1" applyAlignment="1">
      <alignment horizontal="center"/>
    </xf>
    <xf numFmtId="166" fontId="52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0" xfId="0" applyAlignment="1"/>
    <xf numFmtId="1" fontId="57" fillId="0" borderId="4" xfId="0" applyNumberFormat="1" applyFont="1" applyFill="1" applyBorder="1" applyAlignment="1">
      <alignment horizontal="right"/>
    </xf>
    <xf numFmtId="1" fontId="57" fillId="0" borderId="4" xfId="0" applyNumberFormat="1" applyFont="1" applyBorder="1" applyAlignment="1">
      <alignment horizontal="right" wrapText="1"/>
    </xf>
    <xf numFmtId="0" fontId="50" fillId="0" borderId="4" xfId="0" applyFont="1" applyBorder="1" applyAlignment="1">
      <alignment horizontal="right"/>
    </xf>
    <xf numFmtId="0" fontId="56" fillId="0" borderId="4" xfId="0" applyFont="1" applyBorder="1"/>
    <xf numFmtId="166" fontId="56" fillId="0" borderId="4" xfId="0" applyNumberFormat="1" applyFont="1" applyBorder="1" applyAlignment="1">
      <alignment horizontal="center"/>
    </xf>
    <xf numFmtId="0" fontId="57" fillId="0" borderId="4" xfId="0" applyFont="1" applyFill="1" applyBorder="1" applyAlignment="1">
      <alignment wrapText="1"/>
    </xf>
    <xf numFmtId="0" fontId="57" fillId="0" borderId="4" xfId="0" applyFont="1" applyBorder="1" applyAlignment="1">
      <alignment horizontal="left"/>
    </xf>
    <xf numFmtId="166" fontId="56" fillId="0" borderId="4" xfId="0" applyNumberFormat="1" applyFont="1" applyBorder="1" applyAlignment="1">
      <alignment horizontal="left"/>
    </xf>
    <xf numFmtId="166" fontId="57" fillId="0" borderId="4" xfId="0" applyNumberFormat="1" applyFont="1" applyBorder="1" applyAlignment="1">
      <alignment horizontal="left" wrapText="1"/>
    </xf>
    <xf numFmtId="0" fontId="54" fillId="0" borderId="48" xfId="0" applyFont="1" applyBorder="1"/>
    <xf numFmtId="166" fontId="55" fillId="0" borderId="36" xfId="0" applyNumberFormat="1" applyFont="1" applyFill="1" applyBorder="1" applyAlignment="1">
      <alignment horizontal="left"/>
    </xf>
    <xf numFmtId="49" fontId="50" fillId="0" borderId="8" xfId="0" applyNumberFormat="1" applyFont="1" applyBorder="1" applyAlignment="1">
      <alignment horizontal="center"/>
    </xf>
    <xf numFmtId="1" fontId="50" fillId="0" borderId="9" xfId="5" applyNumberFormat="1" applyFont="1" applyBorder="1" applyAlignment="1">
      <alignment horizontal="right"/>
    </xf>
    <xf numFmtId="166" fontId="50" fillId="0" borderId="9" xfId="5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center" vertical="center"/>
    </xf>
    <xf numFmtId="1" fontId="81" fillId="0" borderId="11" xfId="3" applyNumberFormat="1" applyFont="1" applyBorder="1"/>
    <xf numFmtId="166" fontId="8" fillId="0" borderId="5" xfId="0" applyNumberFormat="1" applyFont="1" applyBorder="1" applyAlignment="1"/>
    <xf numFmtId="166" fontId="8" fillId="0" borderId="4" xfId="0" applyNumberFormat="1" applyFont="1" applyBorder="1" applyAlignment="1"/>
    <xf numFmtId="166" fontId="8" fillId="0" borderId="6" xfId="0" applyNumberFormat="1" applyFont="1" applyBorder="1" applyAlignment="1"/>
    <xf numFmtId="166" fontId="8" fillId="0" borderId="12" xfId="0" applyNumberFormat="1" applyFont="1" applyBorder="1" applyAlignment="1"/>
    <xf numFmtId="166" fontId="8" fillId="0" borderId="43" xfId="0" applyNumberFormat="1" applyFont="1" applyBorder="1" applyAlignment="1"/>
    <xf numFmtId="166" fontId="8" fillId="0" borderId="14" xfId="0" applyNumberFormat="1" applyFont="1" applyBorder="1" applyAlignment="1"/>
    <xf numFmtId="166" fontId="8" fillId="0" borderId="4" xfId="0" applyNumberFormat="1" applyFont="1" applyBorder="1" applyAlignment="1">
      <alignment wrapText="1"/>
    </xf>
    <xf numFmtId="0" fontId="82" fillId="0" borderId="0" xfId="0" applyFont="1" applyBorder="1" applyAlignment="1">
      <alignment horizontal="left"/>
    </xf>
    <xf numFmtId="0" fontId="8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8" fillId="0" borderId="20" xfId="0" applyFont="1" applyBorder="1"/>
    <xf numFmtId="0" fontId="8" fillId="0" borderId="0" xfId="0" applyFont="1" applyBorder="1"/>
    <xf numFmtId="166" fontId="57" fillId="0" borderId="44" xfId="0" applyNumberFormat="1" applyFont="1" applyBorder="1" applyAlignment="1">
      <alignment horizontal="left" wrapText="1"/>
    </xf>
    <xf numFmtId="166" fontId="56" fillId="0" borderId="45" xfId="0" applyNumberFormat="1" applyFont="1" applyBorder="1" applyAlignment="1">
      <alignment horizontal="left"/>
    </xf>
    <xf numFmtId="0" fontId="8" fillId="0" borderId="2" xfId="0" applyFont="1" applyBorder="1"/>
    <xf numFmtId="166" fontId="52" fillId="0" borderId="30" xfId="0" applyNumberFormat="1" applyFont="1" applyFill="1" applyBorder="1" applyAlignment="1">
      <alignment horizontal="left"/>
    </xf>
    <xf numFmtId="166" fontId="52" fillId="0" borderId="32" xfId="0" applyNumberFormat="1" applyFont="1" applyBorder="1" applyAlignment="1">
      <alignment horizontal="right"/>
    </xf>
    <xf numFmtId="166" fontId="54" fillId="0" borderId="36" xfId="0" applyNumberFormat="1" applyFont="1" applyBorder="1" applyAlignment="1">
      <alignment horizontal="left"/>
    </xf>
    <xf numFmtId="42" fontId="83" fillId="0" borderId="0" xfId="0" applyNumberFormat="1" applyFont="1" applyFill="1" applyBorder="1"/>
    <xf numFmtId="0" fontId="16" fillId="0" borderId="0" xfId="0" applyFont="1" applyFill="1" applyBorder="1"/>
    <xf numFmtId="0" fontId="8" fillId="0" borderId="1" xfId="0" applyFont="1" applyBorder="1" applyAlignment="1">
      <alignment horizontal="left"/>
    </xf>
    <xf numFmtId="0" fontId="84" fillId="0" borderId="0" xfId="0" applyFont="1" applyBorder="1"/>
    <xf numFmtId="0" fontId="84" fillId="0" borderId="0" xfId="0" applyFont="1" applyBorder="1" applyAlignment="1">
      <alignment horizontal="left"/>
    </xf>
    <xf numFmtId="0" fontId="52" fillId="0" borderId="30" xfId="0" applyFont="1" applyBorder="1" applyAlignment="1">
      <alignment horizontal="center"/>
    </xf>
    <xf numFmtId="0" fontId="0" fillId="0" borderId="0" xfId="0" applyAlignment="1"/>
    <xf numFmtId="0" fontId="0" fillId="0" borderId="30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" fontId="12" fillId="0" borderId="13" xfId="0" applyNumberFormat="1" applyFont="1" applyBorder="1"/>
    <xf numFmtId="49" fontId="49" fillId="0" borderId="8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wrapText="1"/>
    </xf>
    <xf numFmtId="165" fontId="76" fillId="0" borderId="0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0" fontId="0" fillId="0" borderId="0" xfId="0" applyAlignment="1"/>
    <xf numFmtId="166" fontId="8" fillId="0" borderId="30" xfId="0" applyNumberFormat="1" applyFont="1" applyBorder="1" applyAlignment="1"/>
    <xf numFmtId="166" fontId="8" fillId="0" borderId="62" xfId="0" applyNumberFormat="1" applyFont="1" applyBorder="1" applyAlignment="1"/>
    <xf numFmtId="166" fontId="8" fillId="0" borderId="61" xfId="0" applyNumberFormat="1" applyFont="1" applyBorder="1" applyAlignment="1"/>
    <xf numFmtId="166" fontId="85" fillId="0" borderId="62" xfId="0" applyNumberFormat="1" applyFont="1" applyBorder="1"/>
    <xf numFmtId="166" fontId="85" fillId="0" borderId="61" xfId="0" applyNumberFormat="1" applyFont="1" applyBorder="1"/>
    <xf numFmtId="166" fontId="85" fillId="0" borderId="24" xfId="0" applyNumberFormat="1" applyFont="1" applyBorder="1"/>
    <xf numFmtId="166" fontId="85" fillId="0" borderId="78" xfId="0" applyNumberFormat="1" applyFont="1" applyBorder="1"/>
    <xf numFmtId="166" fontId="86" fillId="0" borderId="0" xfId="0" applyNumberFormat="1" applyFont="1" applyBorder="1"/>
    <xf numFmtId="166" fontId="86" fillId="0" borderId="34" xfId="0" applyNumberFormat="1" applyFont="1" applyBorder="1"/>
    <xf numFmtId="166" fontId="85" fillId="0" borderId="30" xfId="0" applyNumberFormat="1" applyFont="1" applyBorder="1"/>
    <xf numFmtId="166" fontId="57" fillId="0" borderId="48" xfId="0" applyNumberFormat="1" applyFont="1" applyBorder="1" applyAlignment="1">
      <alignment horizontal="left"/>
    </xf>
    <xf numFmtId="166" fontId="57" fillId="0" borderId="45" xfId="0" applyNumberFormat="1" applyFont="1" applyBorder="1" applyAlignment="1">
      <alignment horizontal="right"/>
    </xf>
    <xf numFmtId="0" fontId="56" fillId="0" borderId="44" xfId="0" applyFont="1" applyBorder="1"/>
    <xf numFmtId="0" fontId="57" fillId="0" borderId="33" xfId="0" applyFont="1" applyFill="1" applyBorder="1" applyAlignment="1">
      <alignment wrapText="1"/>
    </xf>
    <xf numFmtId="1" fontId="57" fillId="0" borderId="34" xfId="0" applyNumberFormat="1" applyFont="1" applyFill="1" applyBorder="1" applyAlignment="1">
      <alignment horizontal="right"/>
    </xf>
    <xf numFmtId="0" fontId="57" fillId="0" borderId="44" xfId="0" applyFont="1" applyBorder="1" applyAlignment="1">
      <alignment horizontal="left"/>
    </xf>
    <xf numFmtId="0" fontId="57" fillId="0" borderId="44" xfId="0" applyFont="1" applyBorder="1" applyAlignment="1">
      <alignment horizontal="left" wrapText="1"/>
    </xf>
    <xf numFmtId="166" fontId="57" fillId="0" borderId="33" xfId="0" applyNumberFormat="1" applyFont="1" applyBorder="1" applyAlignment="1">
      <alignment horizontal="left" wrapText="1"/>
    </xf>
    <xf numFmtId="1" fontId="57" fillId="0" borderId="34" xfId="0" applyNumberFormat="1" applyFont="1" applyBorder="1" applyAlignment="1">
      <alignment horizontal="right"/>
    </xf>
    <xf numFmtId="166" fontId="57" fillId="0" borderId="44" xfId="0" applyNumberFormat="1" applyFont="1" applyFill="1" applyBorder="1" applyAlignment="1">
      <alignment horizontal="left" wrapText="1"/>
    </xf>
    <xf numFmtId="0" fontId="50" fillId="0" borderId="0" xfId="0" applyFont="1" applyBorder="1" applyAlignment="1">
      <alignment horizontal="right"/>
    </xf>
    <xf numFmtId="1" fontId="57" fillId="0" borderId="35" xfId="0" applyNumberFormat="1" applyFont="1" applyBorder="1" applyAlignment="1">
      <alignment horizontal="right"/>
    </xf>
    <xf numFmtId="1" fontId="57" fillId="0" borderId="20" xfId="0" applyNumberFormat="1" applyFont="1" applyFill="1" applyBorder="1" applyAlignment="1">
      <alignment horizontal="right"/>
    </xf>
    <xf numFmtId="1" fontId="57" fillId="0" borderId="20" xfId="0" applyNumberFormat="1" applyFont="1" applyBorder="1" applyAlignment="1">
      <alignment horizontal="right" wrapText="1"/>
    </xf>
    <xf numFmtId="0" fontId="57" fillId="0" borderId="20" xfId="0" applyNumberFormat="1" applyFont="1" applyBorder="1" applyAlignment="1">
      <alignment horizontal="right"/>
    </xf>
    <xf numFmtId="0" fontId="50" fillId="0" borderId="20" xfId="0" applyFont="1" applyBorder="1" applyAlignment="1">
      <alignment horizontal="right"/>
    </xf>
    <xf numFmtId="1" fontId="57" fillId="0" borderId="20" xfId="0" applyNumberFormat="1" applyFont="1" applyBorder="1" applyAlignment="1">
      <alignment horizontal="right"/>
    </xf>
    <xf numFmtId="1" fontId="57" fillId="0" borderId="35" xfId="0" applyNumberFormat="1" applyFont="1" applyFill="1" applyBorder="1" applyAlignment="1">
      <alignment horizontal="right"/>
    </xf>
    <xf numFmtId="1" fontId="57" fillId="0" borderId="20" xfId="0" applyNumberFormat="1" applyFont="1" applyFill="1" applyBorder="1" applyAlignment="1">
      <alignment horizontal="right" wrapText="1"/>
    </xf>
    <xf numFmtId="166" fontId="52" fillId="0" borderId="36" xfId="0" applyNumberFormat="1" applyFont="1" applyBorder="1" applyAlignment="1">
      <alignment horizontal="left"/>
    </xf>
    <xf numFmtId="0" fontId="80" fillId="0" borderId="20" xfId="0" applyFont="1" applyBorder="1" applyAlignment="1">
      <alignment horizontal="right"/>
    </xf>
    <xf numFmtId="0" fontId="35" fillId="0" borderId="8" xfId="0" applyFont="1" applyBorder="1"/>
    <xf numFmtId="1" fontId="35" fillId="0" borderId="9" xfId="0" applyNumberFormat="1" applyFont="1" applyBorder="1"/>
    <xf numFmtId="1" fontId="35" fillId="0" borderId="10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Fill="1" applyBorder="1"/>
    <xf numFmtId="0" fontId="12" fillId="0" borderId="16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1" fontId="12" fillId="0" borderId="12" xfId="0" applyNumberFormat="1" applyFont="1" applyBorder="1"/>
    <xf numFmtId="0" fontId="9" fillId="0" borderId="20" xfId="0" applyFont="1" applyBorder="1" applyAlignment="1">
      <alignment wrapText="1"/>
    </xf>
    <xf numFmtId="0" fontId="9" fillId="0" borderId="19" xfId="0" applyFont="1" applyBorder="1"/>
    <xf numFmtId="1" fontId="9" fillId="0" borderId="53" xfId="0" applyNumberFormat="1" applyFont="1" applyBorder="1"/>
    <xf numFmtId="0" fontId="12" fillId="0" borderId="8" xfId="0" applyFont="1" applyFill="1" applyBorder="1"/>
    <xf numFmtId="1" fontId="12" fillId="0" borderId="9" xfId="0" applyNumberFormat="1" applyFont="1" applyBorder="1"/>
    <xf numFmtId="1" fontId="12" fillId="0" borderId="10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0" fontId="57" fillId="0" borderId="48" xfId="0" applyFont="1" applyFill="1" applyBorder="1" applyAlignment="1">
      <alignment wrapText="1"/>
    </xf>
    <xf numFmtId="1" fontId="57" fillId="0" borderId="36" xfId="0" applyNumberFormat="1" applyFont="1" applyFill="1" applyBorder="1" applyAlignment="1">
      <alignment horizontal="right" wrapText="1"/>
    </xf>
    <xf numFmtId="0" fontId="57" fillId="0" borderId="36" xfId="0" applyNumberFormat="1" applyFont="1" applyBorder="1" applyAlignment="1">
      <alignment horizontal="right"/>
    </xf>
    <xf numFmtId="166" fontId="56" fillId="0" borderId="34" xfId="0" applyNumberFormat="1" applyFont="1" applyBorder="1" applyAlignment="1">
      <alignment horizontal="center"/>
    </xf>
    <xf numFmtId="166" fontId="56" fillId="0" borderId="35" xfId="0" applyNumberFormat="1" applyFont="1" applyBorder="1" applyAlignment="1">
      <alignment horizontal="center"/>
    </xf>
    <xf numFmtId="166" fontId="56" fillId="0" borderId="33" xfId="0" applyNumberFormat="1" applyFont="1" applyBorder="1" applyAlignment="1">
      <alignment horizontal="left"/>
    </xf>
    <xf numFmtId="1" fontId="57" fillId="0" borderId="0" xfId="0" applyNumberFormat="1" applyFont="1" applyBorder="1" applyAlignment="1">
      <alignment horizontal="left"/>
    </xf>
    <xf numFmtId="1" fontId="57" fillId="0" borderId="0" xfId="0" applyNumberFormat="1" applyFont="1" applyFill="1" applyBorder="1" applyAlignment="1">
      <alignment horizontal="left"/>
    </xf>
    <xf numFmtId="1" fontId="57" fillId="0" borderId="0" xfId="0" applyNumberFormat="1" applyFont="1" applyBorder="1" applyAlignment="1">
      <alignment horizontal="left" wrapText="1"/>
    </xf>
    <xf numFmtId="0" fontId="57" fillId="0" borderId="44" xfId="0" applyFont="1" applyBorder="1" applyAlignment="1">
      <alignment wrapText="1"/>
    </xf>
    <xf numFmtId="0" fontId="57" fillId="0" borderId="0" xfId="0" applyNumberFormat="1" applyFont="1" applyBorder="1" applyAlignment="1">
      <alignment horizontal="left"/>
    </xf>
    <xf numFmtId="0" fontId="57" fillId="0" borderId="48" xfId="0" applyFont="1" applyBorder="1" applyAlignment="1">
      <alignment wrapText="1"/>
    </xf>
    <xf numFmtId="0" fontId="57" fillId="0" borderId="44" xfId="0" applyFont="1" applyBorder="1"/>
    <xf numFmtId="166" fontId="57" fillId="0" borderId="48" xfId="0" applyNumberFormat="1" applyFont="1" applyBorder="1" applyAlignment="1">
      <alignment horizontal="left" wrapText="1"/>
    </xf>
    <xf numFmtId="1" fontId="57" fillId="0" borderId="36" xfId="0" applyNumberFormat="1" applyFont="1" applyBorder="1" applyAlignment="1">
      <alignment horizontal="right" wrapText="1"/>
    </xf>
    <xf numFmtId="0" fontId="57" fillId="0" borderId="48" xfId="0" applyFont="1" applyBorder="1" applyAlignment="1">
      <alignment horizontal="left"/>
    </xf>
    <xf numFmtId="1" fontId="57" fillId="0" borderId="36" xfId="0" applyNumberFormat="1" applyFont="1" applyFill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0" fontId="8" fillId="0" borderId="1" xfId="0" applyFont="1" applyFill="1" applyBorder="1"/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166" fontId="43" fillId="0" borderId="0" xfId="0" applyNumberFormat="1" applyFont="1"/>
    <xf numFmtId="0" fontId="0" fillId="0" borderId="26" xfId="0" applyBorder="1"/>
    <xf numFmtId="0" fontId="7" fillId="0" borderId="77" xfId="0" applyFont="1" applyBorder="1"/>
    <xf numFmtId="0" fontId="7" fillId="0" borderId="9" xfId="0" applyFont="1" applyBorder="1"/>
    <xf numFmtId="0" fontId="0" fillId="0" borderId="9" xfId="0" applyBorder="1"/>
    <xf numFmtId="0" fontId="8" fillId="0" borderId="26" xfId="0" applyFont="1" applyBorder="1"/>
    <xf numFmtId="1" fontId="0" fillId="0" borderId="23" xfId="0" applyNumberFormat="1" applyBorder="1"/>
    <xf numFmtId="1" fontId="0" fillId="0" borderId="41" xfId="0" applyNumberFormat="1" applyBorder="1"/>
    <xf numFmtId="1" fontId="7" fillId="0" borderId="30" xfId="0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9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3" fontId="0" fillId="0" borderId="4" xfId="0" applyNumberFormat="1" applyFill="1" applyBorder="1"/>
    <xf numFmtId="1" fontId="0" fillId="0" borderId="43" xfId="0" applyNumberFormat="1" applyFill="1" applyBorder="1"/>
    <xf numFmtId="1" fontId="0" fillId="0" borderId="12" xfId="0" applyNumberFormat="1" applyBorder="1"/>
    <xf numFmtId="0" fontId="12" fillId="0" borderId="54" xfId="0" applyFont="1" applyFill="1" applyBorder="1"/>
    <xf numFmtId="1" fontId="12" fillId="0" borderId="43" xfId="0" applyNumberFormat="1" applyFont="1" applyBorder="1"/>
    <xf numFmtId="1" fontId="12" fillId="0" borderId="55" xfId="0" applyNumberFormat="1" applyFont="1" applyBorder="1"/>
    <xf numFmtId="0" fontId="12" fillId="0" borderId="12" xfId="0" applyFont="1" applyBorder="1"/>
    <xf numFmtId="0" fontId="4" fillId="0" borderId="13" xfId="0" applyFont="1" applyBorder="1"/>
    <xf numFmtId="166" fontId="57" fillId="0" borderId="50" xfId="0" applyNumberFormat="1" applyFont="1" applyBorder="1" applyAlignment="1">
      <alignment horizontal="left" wrapText="1"/>
    </xf>
    <xf numFmtId="1" fontId="57" fillId="0" borderId="50" xfId="0" applyNumberFormat="1" applyFont="1" applyBorder="1" applyAlignment="1">
      <alignment horizontal="right"/>
    </xf>
    <xf numFmtId="166" fontId="57" fillId="0" borderId="0" xfId="0" applyNumberFormat="1" applyFont="1" applyFill="1" applyBorder="1" applyAlignment="1">
      <alignment horizontal="left" wrapText="1"/>
    </xf>
    <xf numFmtId="166" fontId="57" fillId="0" borderId="0" xfId="0" applyNumberFormat="1" applyFont="1" applyBorder="1" applyAlignment="1">
      <alignment horizontal="left" wrapText="1"/>
    </xf>
    <xf numFmtId="0" fontId="57" fillId="0" borderId="0" xfId="0" applyFont="1" applyBorder="1" applyAlignment="1">
      <alignment wrapText="1"/>
    </xf>
    <xf numFmtId="0" fontId="12" fillId="0" borderId="52" xfId="0" applyFont="1" applyBorder="1"/>
    <xf numFmtId="0" fontId="12" fillId="0" borderId="26" xfId="0" applyFont="1" applyBorder="1"/>
    <xf numFmtId="0" fontId="5" fillId="0" borderId="18" xfId="0" applyFont="1" applyBorder="1"/>
    <xf numFmtId="0" fontId="4" fillId="0" borderId="17" xfId="0" applyFont="1" applyBorder="1" applyAlignment="1">
      <alignment wrapText="1"/>
    </xf>
    <xf numFmtId="0" fontId="4" fillId="0" borderId="40" xfId="0" applyFont="1" applyBorder="1"/>
    <xf numFmtId="0" fontId="5" fillId="0" borderId="22" xfId="0" applyFont="1" applyBorder="1"/>
    <xf numFmtId="166" fontId="56" fillId="0" borderId="0" xfId="0" applyNumberFormat="1" applyFont="1" applyBorder="1" applyAlignment="1">
      <alignment horizontal="right"/>
    </xf>
    <xf numFmtId="49" fontId="49" fillId="0" borderId="44" xfId="0" applyNumberFormat="1" applyFont="1" applyBorder="1" applyAlignment="1">
      <alignment wrapText="1"/>
    </xf>
    <xf numFmtId="0" fontId="49" fillId="0" borderId="19" xfId="0" applyFont="1" applyBorder="1" applyAlignment="1">
      <alignment wrapText="1"/>
    </xf>
    <xf numFmtId="166" fontId="49" fillId="0" borderId="6" xfId="0" applyNumberFormat="1" applyFont="1" applyBorder="1" applyAlignment="1">
      <alignment horizontal="right"/>
    </xf>
    <xf numFmtId="166" fontId="43" fillId="0" borderId="4" xfId="5" applyNumberFormat="1" applyFont="1" applyBorder="1" applyAlignment="1">
      <alignment horizontal="right" vertical="center" wrapText="1"/>
    </xf>
    <xf numFmtId="166" fontId="41" fillId="0" borderId="4" xfId="5" applyNumberFormat="1" applyFont="1" applyBorder="1" applyAlignment="1">
      <alignment horizontal="right" vertical="center" wrapText="1"/>
    </xf>
    <xf numFmtId="166" fontId="49" fillId="0" borderId="7" xfId="0" applyNumberFormat="1" applyFont="1" applyBorder="1" applyAlignment="1">
      <alignment horizontal="right"/>
    </xf>
    <xf numFmtId="166" fontId="41" fillId="0" borderId="41" xfId="5" applyNumberFormat="1" applyFont="1" applyFill="1" applyBorder="1" applyAlignment="1">
      <alignment horizontal="right" vertical="center"/>
    </xf>
    <xf numFmtId="166" fontId="41" fillId="0" borderId="42" xfId="5" applyNumberFormat="1" applyFont="1" applyFill="1" applyBorder="1" applyAlignment="1">
      <alignment horizontal="right" vertical="center"/>
    </xf>
    <xf numFmtId="0" fontId="43" fillId="0" borderId="12" xfId="0" applyFont="1" applyBorder="1" applyAlignment="1">
      <alignment wrapText="1"/>
    </xf>
    <xf numFmtId="1" fontId="57" fillId="0" borderId="45" xfId="0" applyNumberFormat="1" applyFont="1" applyBorder="1" applyAlignment="1">
      <alignment horizontal="right"/>
    </xf>
    <xf numFmtId="0" fontId="2" fillId="0" borderId="54" xfId="0" applyFont="1" applyBorder="1"/>
    <xf numFmtId="0" fontId="12" fillId="0" borderId="43" xfId="0" applyFont="1" applyBorder="1"/>
    <xf numFmtId="0" fontId="4" fillId="0" borderId="55" xfId="0" applyFont="1" applyBorder="1"/>
    <xf numFmtId="0" fontId="12" fillId="0" borderId="4" xfId="0" applyFont="1" applyBorder="1"/>
    <xf numFmtId="0" fontId="4" fillId="0" borderId="23" xfId="0" applyFont="1" applyBorder="1"/>
    <xf numFmtId="0" fontId="4" fillId="0" borderId="4" xfId="0" applyFont="1" applyBorder="1"/>
    <xf numFmtId="0" fontId="4" fillId="0" borderId="12" xfId="0" applyFont="1" applyBorder="1"/>
    <xf numFmtId="164" fontId="41" fillId="0" borderId="60" xfId="5" applyNumberFormat="1" applyFont="1" applyBorder="1" applyAlignment="1">
      <alignment horizontal="center" wrapText="1"/>
    </xf>
    <xf numFmtId="164" fontId="41" fillId="0" borderId="62" xfId="5" applyNumberFormat="1" applyFont="1" applyBorder="1" applyAlignment="1">
      <alignment horizontal="center" wrapText="1"/>
    </xf>
    <xf numFmtId="166" fontId="49" fillId="0" borderId="69" xfId="0" applyNumberFormat="1" applyFont="1" applyFill="1" applyBorder="1" applyAlignment="1">
      <alignment horizontal="right"/>
    </xf>
    <xf numFmtId="166" fontId="49" fillId="4" borderId="62" xfId="0" applyNumberFormat="1" applyFont="1" applyFill="1" applyBorder="1" applyAlignment="1">
      <alignment horizontal="right"/>
    </xf>
    <xf numFmtId="164" fontId="41" fillId="0" borderId="28" xfId="5" applyNumberFormat="1" applyFont="1" applyBorder="1" applyAlignment="1">
      <alignment horizontal="center" wrapText="1"/>
    </xf>
    <xf numFmtId="164" fontId="41" fillId="0" borderId="76" xfId="5" applyNumberFormat="1" applyFont="1" applyBorder="1" applyAlignment="1">
      <alignment horizontal="center" wrapText="1"/>
    </xf>
    <xf numFmtId="164" fontId="41" fillId="0" borderId="41" xfId="5" applyNumberFormat="1" applyFont="1" applyFill="1" applyBorder="1" applyAlignment="1">
      <alignment horizontal="center"/>
    </xf>
    <xf numFmtId="166" fontId="41" fillId="0" borderId="76" xfId="5" applyNumberFormat="1" applyFont="1" applyFill="1" applyBorder="1" applyAlignment="1">
      <alignment horizontal="right" vertical="center"/>
    </xf>
    <xf numFmtId="166" fontId="41" fillId="0" borderId="71" xfId="5" applyNumberFormat="1" applyFont="1" applyFill="1" applyBorder="1" applyAlignment="1">
      <alignment horizontal="right" vertical="center"/>
    </xf>
    <xf numFmtId="166" fontId="49" fillId="4" borderId="41" xfId="0" applyNumberFormat="1" applyFont="1" applyFill="1" applyBorder="1" applyAlignment="1">
      <alignment horizontal="right"/>
    </xf>
    <xf numFmtId="166" fontId="49" fillId="4" borderId="77" xfId="0" applyNumberFormat="1" applyFont="1" applyFill="1" applyBorder="1" applyAlignment="1">
      <alignment horizontal="right"/>
    </xf>
    <xf numFmtId="166" fontId="49" fillId="4" borderId="12" xfId="0" applyNumberFormat="1" applyFont="1" applyFill="1" applyBorder="1" applyAlignment="1">
      <alignment horizontal="right"/>
    </xf>
    <xf numFmtId="166" fontId="49" fillId="4" borderId="13" xfId="0" applyNumberFormat="1" applyFont="1" applyFill="1" applyBorder="1" applyAlignment="1">
      <alignment horizontal="right"/>
    </xf>
    <xf numFmtId="166" fontId="49" fillId="0" borderId="1" xfId="0" applyNumberFormat="1" applyFont="1" applyFill="1" applyBorder="1" applyAlignment="1">
      <alignment horizontal="right"/>
    </xf>
    <xf numFmtId="166" fontId="49" fillId="0" borderId="7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wrapText="1"/>
    </xf>
    <xf numFmtId="0" fontId="40" fillId="0" borderId="0" xfId="5" applyNumberFormat="1" applyFont="1" applyBorder="1" applyAlignment="1">
      <alignment horizontal="right"/>
    </xf>
    <xf numFmtId="0" fontId="40" fillId="0" borderId="26" xfId="5" applyNumberFormat="1" applyFont="1" applyFill="1" applyBorder="1" applyAlignment="1">
      <alignment horizontal="right"/>
    </xf>
    <xf numFmtId="166" fontId="40" fillId="0" borderId="26" xfId="5" applyNumberFormat="1" applyFont="1" applyBorder="1" applyAlignment="1">
      <alignment horizontal="right"/>
    </xf>
    <xf numFmtId="49" fontId="49" fillId="0" borderId="8" xfId="0" applyNumberFormat="1" applyFont="1" applyBorder="1" applyAlignment="1">
      <alignment horizontal="center"/>
    </xf>
    <xf numFmtId="166" fontId="40" fillId="0" borderId="21" xfId="5" applyNumberFormat="1" applyFont="1" applyBorder="1" applyAlignment="1">
      <alignment horizontal="right"/>
    </xf>
    <xf numFmtId="166" fontId="41" fillId="0" borderId="72" xfId="5" applyNumberFormat="1" applyFont="1" applyFill="1" applyBorder="1" applyAlignment="1">
      <alignment horizontal="right" vertical="center"/>
    </xf>
    <xf numFmtId="0" fontId="2" fillId="0" borderId="16" xfId="0" applyFont="1" applyBorder="1"/>
    <xf numFmtId="166" fontId="8" fillId="0" borderId="16" xfId="0" applyNumberFormat="1" applyFont="1" applyBorder="1" applyAlignment="1">
      <alignment wrapText="1"/>
    </xf>
    <xf numFmtId="166" fontId="2" fillId="0" borderId="16" xfId="0" applyNumberFormat="1" applyFont="1" applyBorder="1" applyAlignment="1">
      <alignment wrapText="1"/>
    </xf>
    <xf numFmtId="166" fontId="51" fillId="3" borderId="21" xfId="0" applyNumberFormat="1" applyFont="1" applyFill="1" applyBorder="1" applyAlignment="1">
      <alignment horizontal="right"/>
    </xf>
    <xf numFmtId="166" fontId="51" fillId="3" borderId="69" xfId="0" applyNumberFormat="1" applyFont="1" applyFill="1" applyBorder="1" applyAlignment="1">
      <alignment horizontal="right"/>
    </xf>
    <xf numFmtId="49" fontId="87" fillId="0" borderId="16" xfId="0" applyNumberFormat="1" applyFont="1" applyBorder="1" applyAlignment="1">
      <alignment horizontal="center" vertical="center"/>
    </xf>
    <xf numFmtId="0" fontId="87" fillId="0" borderId="4" xfId="0" applyFont="1" applyBorder="1" applyAlignment="1">
      <alignment wrapText="1"/>
    </xf>
    <xf numFmtId="49" fontId="87" fillId="0" borderId="11" xfId="0" applyNumberFormat="1" applyFont="1" applyBorder="1" applyAlignment="1">
      <alignment horizontal="center" vertical="center"/>
    </xf>
    <xf numFmtId="0" fontId="87" fillId="0" borderId="12" xfId="0" applyFont="1" applyBorder="1" applyAlignment="1">
      <alignment wrapText="1"/>
    </xf>
    <xf numFmtId="49" fontId="87" fillId="0" borderId="16" xfId="0" applyNumberFormat="1" applyFont="1" applyBorder="1" applyAlignment="1">
      <alignment horizontal="center"/>
    </xf>
    <xf numFmtId="49" fontId="87" fillId="0" borderId="11" xfId="0" applyNumberFormat="1" applyFont="1" applyBorder="1" applyAlignment="1">
      <alignment horizontal="center"/>
    </xf>
    <xf numFmtId="0" fontId="87" fillId="0" borderId="4" xfId="0" applyFont="1" applyBorder="1" applyAlignment="1"/>
    <xf numFmtId="0" fontId="87" fillId="0" borderId="0" xfId="0" applyFont="1" applyBorder="1"/>
    <xf numFmtId="0" fontId="87" fillId="0" borderId="0" xfId="0" applyFont="1"/>
    <xf numFmtId="166" fontId="87" fillId="0" borderId="4" xfId="5" applyNumberFormat="1" applyFont="1" applyBorder="1" applyAlignment="1">
      <alignment horizontal="right"/>
    </xf>
    <xf numFmtId="49" fontId="87" fillId="0" borderId="16" xfId="0" applyNumberFormat="1" applyFont="1" applyBorder="1" applyAlignment="1">
      <alignment horizontal="center" wrapText="1"/>
    </xf>
    <xf numFmtId="1" fontId="39" fillId="0" borderId="0" xfId="0" applyNumberFormat="1" applyFont="1" applyBorder="1"/>
    <xf numFmtId="0" fontId="7" fillId="3" borderId="44" xfId="0" applyFont="1" applyFill="1" applyBorder="1" applyAlignment="1">
      <alignment wrapText="1"/>
    </xf>
    <xf numFmtId="0" fontId="49" fillId="4" borderId="4" xfId="0" applyFont="1" applyFill="1" applyBorder="1" applyAlignment="1">
      <alignment wrapText="1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40" fillId="3" borderId="43" xfId="0" applyFont="1" applyFill="1" applyBorder="1" applyAlignment="1">
      <alignment wrapText="1"/>
    </xf>
    <xf numFmtId="49" fontId="7" fillId="3" borderId="11" xfId="0" applyNumberFormat="1" applyFont="1" applyFill="1" applyBorder="1" applyAlignment="1">
      <alignment wrapText="1"/>
    </xf>
    <xf numFmtId="49" fontId="0" fillId="3" borderId="43" xfId="0" applyNumberFormat="1" applyFill="1" applyBorder="1"/>
    <xf numFmtId="10" fontId="7" fillId="3" borderId="12" xfId="0" applyNumberFormat="1" applyFont="1" applyFill="1" applyBorder="1" applyAlignment="1">
      <alignment horizontal="right"/>
    </xf>
    <xf numFmtId="10" fontId="7" fillId="3" borderId="13" xfId="0" applyNumberFormat="1" applyFont="1" applyFill="1" applyBorder="1" applyAlignment="1">
      <alignment horizontal="right"/>
    </xf>
    <xf numFmtId="10" fontId="7" fillId="3" borderId="12" xfId="0" applyNumberFormat="1" applyFont="1" applyFill="1" applyBorder="1"/>
    <xf numFmtId="10" fontId="7" fillId="3" borderId="13" xfId="0" applyNumberFormat="1" applyFont="1" applyFill="1" applyBorder="1"/>
    <xf numFmtId="0" fontId="7" fillId="3" borderId="43" xfId="0" applyFont="1" applyFill="1" applyBorder="1" applyAlignment="1">
      <alignment wrapText="1"/>
    </xf>
    <xf numFmtId="0" fontId="40" fillId="3" borderId="43" xfId="0" applyFont="1" applyFill="1" applyBorder="1" applyAlignment="1">
      <alignment horizontal="left"/>
    </xf>
    <xf numFmtId="49" fontId="43" fillId="0" borderId="12" xfId="0" applyNumberFormat="1" applyFont="1" applyFill="1" applyBorder="1" applyAlignment="1">
      <alignment horizontal="left"/>
    </xf>
    <xf numFmtId="0" fontId="7" fillId="3" borderId="43" xfId="0" applyFont="1" applyFill="1" applyBorder="1"/>
    <xf numFmtId="0" fontId="49" fillId="3" borderId="43" xfId="0" applyFont="1" applyFill="1" applyBorder="1" applyAlignment="1">
      <alignment horizontal="left"/>
    </xf>
    <xf numFmtId="10" fontId="7" fillId="3" borderId="5" xfId="0" applyNumberFormat="1" applyFont="1" applyFill="1" applyBorder="1" applyAlignment="1">
      <alignment horizontal="right"/>
    </xf>
    <xf numFmtId="1" fontId="2" fillId="0" borderId="40" xfId="0" applyNumberFormat="1" applyFont="1" applyFill="1" applyBorder="1" applyAlignment="1">
      <alignment horizontal="right"/>
    </xf>
    <xf numFmtId="1" fontId="2" fillId="0" borderId="56" xfId="0" applyNumberFormat="1" applyFont="1" applyBorder="1" applyAlignment="1">
      <alignment horizontal="right"/>
    </xf>
    <xf numFmtId="1" fontId="40" fillId="0" borderId="64" xfId="5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" fontId="0" fillId="0" borderId="52" xfId="0" applyNumberFormat="1" applyBorder="1" applyAlignment="1">
      <alignment horizontal="right"/>
    </xf>
    <xf numFmtId="1" fontId="0" fillId="0" borderId="64" xfId="0" applyNumberFormat="1" applyBorder="1" applyAlignment="1">
      <alignment horizontal="right"/>
    </xf>
    <xf numFmtId="1" fontId="40" fillId="0" borderId="9" xfId="5" applyNumberFormat="1" applyFont="1" applyBorder="1" applyAlignment="1">
      <alignment horizontal="right"/>
    </xf>
    <xf numFmtId="1" fontId="78" fillId="3" borderId="10" xfId="5" applyNumberFormat="1" applyFont="1" applyFill="1" applyBorder="1" applyAlignment="1">
      <alignment horizontal="right"/>
    </xf>
    <xf numFmtId="0" fontId="49" fillId="0" borderId="9" xfId="0" applyFont="1" applyBorder="1" applyAlignment="1">
      <alignment horizontal="left"/>
    </xf>
    <xf numFmtId="1" fontId="78" fillId="0" borderId="10" xfId="5" applyNumberFormat="1" applyFont="1" applyFill="1" applyBorder="1" applyAlignment="1">
      <alignment horizontal="right"/>
    </xf>
    <xf numFmtId="1" fontId="78" fillId="0" borderId="13" xfId="5" applyNumberFormat="1" applyFont="1" applyFill="1" applyBorder="1" applyAlignment="1">
      <alignment horizontal="right"/>
    </xf>
    <xf numFmtId="1" fontId="89" fillId="0" borderId="13" xfId="5" applyNumberFormat="1" applyFont="1" applyFill="1" applyBorder="1" applyAlignment="1">
      <alignment horizontal="right"/>
    </xf>
    <xf numFmtId="49" fontId="7" fillId="3" borderId="78" xfId="0" applyNumberFormat="1" applyFont="1" applyFill="1" applyBorder="1" applyAlignment="1">
      <alignment wrapText="1"/>
    </xf>
    <xf numFmtId="49" fontId="7" fillId="3" borderId="49" xfId="0" applyNumberFormat="1" applyFont="1" applyFill="1" applyBorder="1" applyAlignment="1">
      <alignment wrapText="1"/>
    </xf>
    <xf numFmtId="0" fontId="40" fillId="3" borderId="29" xfId="0" applyFont="1" applyFill="1" applyBorder="1" applyAlignment="1">
      <alignment wrapText="1"/>
    </xf>
    <xf numFmtId="10" fontId="7" fillId="3" borderId="4" xfId="0" applyNumberFormat="1" applyFont="1" applyFill="1" applyBorder="1"/>
    <xf numFmtId="49" fontId="7" fillId="3" borderId="29" xfId="0" applyNumberFormat="1" applyFont="1" applyFill="1" applyBorder="1" applyAlignment="1">
      <alignment wrapText="1"/>
    </xf>
    <xf numFmtId="49" fontId="7" fillId="3" borderId="65" xfId="0" applyNumberFormat="1" applyFont="1" applyFill="1" applyBorder="1" applyAlignment="1">
      <alignment wrapText="1"/>
    </xf>
    <xf numFmtId="0" fontId="43" fillId="3" borderId="43" xfId="0" applyFont="1" applyFill="1" applyBorder="1" applyAlignment="1">
      <alignment horizontal="left" vertical="center"/>
    </xf>
    <xf numFmtId="10" fontId="7" fillId="3" borderId="4" xfId="0" applyNumberFormat="1" applyFont="1" applyFill="1" applyBorder="1" applyAlignment="1">
      <alignment horizontal="right"/>
    </xf>
    <xf numFmtId="0" fontId="43" fillId="0" borderId="43" xfId="5" applyNumberFormat="1" applyFont="1" applyBorder="1" applyAlignment="1">
      <alignment horizontal="right" vertical="center" wrapText="1"/>
    </xf>
    <xf numFmtId="1" fontId="43" fillId="0" borderId="43" xfId="5" applyNumberFormat="1" applyFont="1" applyBorder="1" applyAlignment="1">
      <alignment horizontal="right" vertical="center" wrapText="1"/>
    </xf>
    <xf numFmtId="0" fontId="49" fillId="3" borderId="53" xfId="5" applyNumberFormat="1" applyFont="1" applyFill="1" applyBorder="1" applyAlignment="1">
      <alignment horizontal="right" vertical="center"/>
    </xf>
    <xf numFmtId="0" fontId="43" fillId="3" borderId="10" xfId="5" applyNumberFormat="1" applyFont="1" applyFill="1" applyBorder="1" applyAlignment="1">
      <alignment horizontal="right" vertical="center"/>
    </xf>
    <xf numFmtId="0" fontId="50" fillId="0" borderId="30" xfId="0" applyFont="1" applyBorder="1"/>
    <xf numFmtId="166" fontId="52" fillId="0" borderId="32" xfId="0" applyNumberFormat="1" applyFont="1" applyBorder="1"/>
    <xf numFmtId="0" fontId="54" fillId="0" borderId="30" xfId="0" applyFont="1" applyBorder="1"/>
    <xf numFmtId="0" fontId="57" fillId="0" borderId="34" xfId="0" applyFont="1" applyBorder="1"/>
    <xf numFmtId="166" fontId="57" fillId="0" borderId="0" xfId="0" applyNumberFormat="1" applyFont="1" applyBorder="1" applyAlignment="1">
      <alignment horizontal="right"/>
    </xf>
    <xf numFmtId="0" fontId="52" fillId="0" borderId="72" xfId="0" applyFont="1" applyBorder="1"/>
    <xf numFmtId="0" fontId="56" fillId="0" borderId="75" xfId="0" applyFont="1" applyBorder="1"/>
    <xf numFmtId="166" fontId="56" fillId="0" borderId="73" xfId="0" applyNumberFormat="1" applyFont="1" applyBorder="1" applyAlignment="1">
      <alignment horizontal="left"/>
    </xf>
    <xf numFmtId="166" fontId="52" fillId="0" borderId="72" xfId="0" applyNumberFormat="1" applyFont="1" applyBorder="1" applyAlignment="1">
      <alignment horizontal="left"/>
    </xf>
    <xf numFmtId="166" fontId="57" fillId="0" borderId="51" xfId="0" applyNumberFormat="1" applyFont="1" applyBorder="1" applyAlignment="1">
      <alignment horizontal="right"/>
    </xf>
    <xf numFmtId="166" fontId="56" fillId="0" borderId="45" xfId="0" applyNumberFormat="1" applyFont="1" applyBorder="1" applyAlignment="1">
      <alignment horizontal="right"/>
    </xf>
    <xf numFmtId="10" fontId="90" fillId="0" borderId="72" xfId="0" applyNumberFormat="1" applyFont="1" applyBorder="1"/>
    <xf numFmtId="166" fontId="55" fillId="0" borderId="36" xfId="0" applyNumberFormat="1" applyFont="1" applyFill="1" applyBorder="1" applyAlignment="1">
      <alignment horizontal="right"/>
    </xf>
    <xf numFmtId="166" fontId="57" fillId="0" borderId="0" xfId="0" applyNumberFormat="1" applyFont="1" applyBorder="1" applyAlignment="1">
      <alignment horizontal="left"/>
    </xf>
    <xf numFmtId="166" fontId="57" fillId="0" borderId="36" xfId="0" applyNumberFormat="1" applyFont="1" applyBorder="1" applyAlignment="1">
      <alignment horizontal="left"/>
    </xf>
    <xf numFmtId="166" fontId="56" fillId="0" borderId="38" xfId="0" applyNumberFormat="1" applyFont="1" applyBorder="1" applyAlignment="1">
      <alignment horizontal="center"/>
    </xf>
    <xf numFmtId="166" fontId="56" fillId="0" borderId="23" xfId="0" applyNumberFormat="1" applyFont="1" applyBorder="1" applyAlignment="1">
      <alignment horizontal="center"/>
    </xf>
    <xf numFmtId="166" fontId="56" fillId="0" borderId="23" xfId="0" applyNumberFormat="1" applyFont="1" applyBorder="1" applyAlignment="1">
      <alignment horizontal="right"/>
    </xf>
    <xf numFmtId="166" fontId="57" fillId="0" borderId="25" xfId="0" applyNumberFormat="1" applyFont="1" applyBorder="1" applyAlignment="1">
      <alignment horizontal="right"/>
    </xf>
    <xf numFmtId="166" fontId="56" fillId="0" borderId="25" xfId="0" applyNumberFormat="1" applyFont="1" applyBorder="1" applyAlignment="1">
      <alignment horizontal="right"/>
    </xf>
    <xf numFmtId="0" fontId="57" fillId="0" borderId="11" xfId="0" applyFont="1" applyBorder="1" applyAlignment="1">
      <alignment horizontal="left"/>
    </xf>
    <xf numFmtId="1" fontId="57" fillId="0" borderId="12" xfId="0" applyNumberFormat="1" applyFont="1" applyFill="1" applyBorder="1" applyAlignment="1">
      <alignment horizontal="right"/>
    </xf>
    <xf numFmtId="166" fontId="56" fillId="0" borderId="13" xfId="0" applyNumberFormat="1" applyFont="1" applyBorder="1" applyAlignment="1">
      <alignment horizontal="right"/>
    </xf>
    <xf numFmtId="166" fontId="57" fillId="0" borderId="16" xfId="0" applyNumberFormat="1" applyFont="1" applyBorder="1" applyAlignment="1">
      <alignment horizontal="left" wrapText="1"/>
    </xf>
    <xf numFmtId="1" fontId="80" fillId="0" borderId="12" xfId="0" applyNumberFormat="1" applyFont="1" applyBorder="1" applyAlignment="1">
      <alignment horizontal="right" wrapText="1"/>
    </xf>
    <xf numFmtId="166" fontId="57" fillId="0" borderId="13" xfId="0" applyNumberFormat="1" applyFont="1" applyBorder="1" applyAlignment="1">
      <alignment horizontal="right"/>
    </xf>
    <xf numFmtId="166" fontId="80" fillId="0" borderId="48" xfId="0" applyNumberFormat="1" applyFont="1" applyBorder="1" applyAlignment="1">
      <alignment horizontal="left" wrapText="1"/>
    </xf>
    <xf numFmtId="0" fontId="18" fillId="0" borderId="0" xfId="0" applyFont="1" applyBorder="1"/>
    <xf numFmtId="0" fontId="57" fillId="0" borderId="4" xfId="0" applyFont="1" applyBorder="1"/>
    <xf numFmtId="0" fontId="57" fillId="0" borderId="54" xfId="0" applyFont="1" applyBorder="1" applyAlignment="1">
      <alignment horizontal="left"/>
    </xf>
    <xf numFmtId="1" fontId="57" fillId="0" borderId="43" xfId="0" applyNumberFormat="1" applyFont="1" applyFill="1" applyBorder="1" applyAlignment="1">
      <alignment horizontal="right"/>
    </xf>
    <xf numFmtId="166" fontId="56" fillId="0" borderId="55" xfId="0" applyNumberFormat="1" applyFont="1" applyBorder="1" applyAlignment="1">
      <alignment horizontal="right"/>
    </xf>
    <xf numFmtId="1" fontId="57" fillId="0" borderId="43" xfId="0" applyNumberFormat="1" applyFont="1" applyBorder="1" applyAlignment="1">
      <alignment horizontal="right" wrapText="1"/>
    </xf>
    <xf numFmtId="166" fontId="57" fillId="0" borderId="55" xfId="0" applyNumberFormat="1" applyFont="1" applyBorder="1" applyAlignment="1">
      <alignment horizontal="right"/>
    </xf>
    <xf numFmtId="166" fontId="57" fillId="0" borderId="14" xfId="0" applyNumberFormat="1" applyFont="1" applyBorder="1" applyAlignment="1">
      <alignment horizontal="left" wrapText="1"/>
    </xf>
    <xf numFmtId="0" fontId="79" fillId="0" borderId="46" xfId="0" applyFont="1" applyBorder="1"/>
    <xf numFmtId="166" fontId="85" fillId="0" borderId="47" xfId="0" applyNumberFormat="1" applyFont="1" applyBorder="1"/>
    <xf numFmtId="166" fontId="58" fillId="0" borderId="76" xfId="0" applyNumberFormat="1" applyFont="1" applyBorder="1"/>
    <xf numFmtId="166" fontId="59" fillId="0" borderId="77" xfId="0" applyNumberFormat="1" applyFont="1" applyBorder="1"/>
    <xf numFmtId="0" fontId="60" fillId="0" borderId="77" xfId="0" applyFont="1" applyBorder="1" applyAlignment="1">
      <alignment horizontal="left"/>
    </xf>
    <xf numFmtId="0" fontId="85" fillId="0" borderId="76" xfId="0" applyNumberFormat="1" applyFont="1" applyBorder="1"/>
    <xf numFmtId="6" fontId="85" fillId="0" borderId="41" xfId="0" applyNumberFormat="1" applyFont="1" applyBorder="1"/>
    <xf numFmtId="6" fontId="85" fillId="0" borderId="77" xfId="0" applyNumberFormat="1" applyFont="1" applyBorder="1"/>
    <xf numFmtId="6" fontId="85" fillId="0" borderId="76" xfId="0" applyNumberFormat="1" applyFont="1" applyBorder="1"/>
    <xf numFmtId="6" fontId="85" fillId="0" borderId="73" xfId="0" applyNumberFormat="1" applyFont="1" applyBorder="1"/>
    <xf numFmtId="6" fontId="85" fillId="0" borderId="74" xfId="0" applyNumberFormat="1" applyFont="1" applyBorder="1"/>
    <xf numFmtId="6" fontId="60" fillId="0" borderId="32" xfId="0" applyNumberFormat="1" applyFont="1" applyBorder="1"/>
    <xf numFmtId="0" fontId="58" fillId="0" borderId="34" xfId="0" applyFont="1" applyBorder="1"/>
    <xf numFmtId="166" fontId="58" fillId="0" borderId="34" xfId="0" applyNumberFormat="1" applyFont="1" applyBorder="1"/>
    <xf numFmtId="166" fontId="85" fillId="0" borderId="34" xfId="0" applyNumberFormat="1" applyFont="1" applyBorder="1"/>
    <xf numFmtId="166" fontId="85" fillId="0" borderId="76" xfId="0" applyNumberFormat="1" applyFont="1" applyBorder="1"/>
    <xf numFmtId="0" fontId="58" fillId="0" borderId="77" xfId="0" applyFont="1" applyBorder="1"/>
    <xf numFmtId="166" fontId="58" fillId="0" borderId="77" xfId="0" applyNumberFormat="1" applyFont="1" applyBorder="1"/>
    <xf numFmtId="166" fontId="85" fillId="0" borderId="77" xfId="0" applyNumberFormat="1" applyFont="1" applyBorder="1"/>
    <xf numFmtId="0" fontId="79" fillId="0" borderId="76" xfId="0" applyFont="1" applyBorder="1"/>
    <xf numFmtId="10" fontId="79" fillId="0" borderId="72" xfId="0" applyNumberFormat="1" applyFont="1" applyBorder="1"/>
    <xf numFmtId="0" fontId="51" fillId="3" borderId="6" xfId="0" applyFont="1" applyFill="1" applyBorder="1" applyAlignment="1">
      <alignment wrapText="1"/>
    </xf>
    <xf numFmtId="0" fontId="2" fillId="4" borderId="36" xfId="0" applyFont="1" applyFill="1" applyBorder="1"/>
    <xf numFmtId="10" fontId="51" fillId="3" borderId="68" xfId="0" applyNumberFormat="1" applyFont="1" applyFill="1" applyBorder="1" applyAlignment="1">
      <alignment horizontal="right"/>
    </xf>
    <xf numFmtId="10" fontId="51" fillId="3" borderId="12" xfId="0" applyNumberFormat="1" applyFont="1" applyFill="1" applyBorder="1" applyAlignment="1">
      <alignment horizontal="right"/>
    </xf>
    <xf numFmtId="10" fontId="66" fillId="4" borderId="36" xfId="0" applyNumberFormat="1" applyFont="1" applyFill="1" applyBorder="1"/>
    <xf numFmtId="0" fontId="1" fillId="0" borderId="72" xfId="0" applyFont="1" applyBorder="1" applyAlignment="1">
      <alignment horizontal="center"/>
    </xf>
    <xf numFmtId="166" fontId="8" fillId="0" borderId="56" xfId="0" applyNumberFormat="1" applyFont="1" applyBorder="1" applyAlignment="1"/>
    <xf numFmtId="166" fontId="8" fillId="0" borderId="79" xfId="0" applyNumberFormat="1" applyFont="1" applyBorder="1" applyAlignment="1"/>
    <xf numFmtId="49" fontId="37" fillId="0" borderId="43" xfId="0" applyNumberFormat="1" applyFont="1" applyBorder="1" applyAlignment="1">
      <alignment horizontal="center" vertical="top"/>
    </xf>
    <xf numFmtId="0" fontId="49" fillId="0" borderId="43" xfId="0" applyFont="1" applyBorder="1" applyAlignment="1">
      <alignment wrapText="1"/>
    </xf>
    <xf numFmtId="0" fontId="49" fillId="0" borderId="12" xfId="0" applyFont="1" applyBorder="1" applyAlignment="1">
      <alignment wrapText="1"/>
    </xf>
    <xf numFmtId="10" fontId="1" fillId="0" borderId="12" xfId="0" applyNumberFormat="1" applyFont="1" applyBorder="1"/>
    <xf numFmtId="49" fontId="0" fillId="0" borderId="43" xfId="0" applyNumberFormat="1" applyBorder="1"/>
    <xf numFmtId="0" fontId="51" fillId="0" borderId="43" xfId="0" applyFont="1" applyBorder="1"/>
    <xf numFmtId="10" fontId="49" fillId="0" borderId="12" xfId="0" applyNumberFormat="1" applyFont="1" applyBorder="1"/>
    <xf numFmtId="0" fontId="0" fillId="3" borderId="32" xfId="0" applyFill="1" applyBorder="1" applyAlignment="1"/>
    <xf numFmtId="0" fontId="0" fillId="0" borderId="32" xfId="0" applyBorder="1" applyAlignment="1"/>
    <xf numFmtId="0" fontId="0" fillId="3" borderId="51" xfId="0" applyFill="1" applyBorder="1" applyAlignment="1"/>
    <xf numFmtId="166" fontId="56" fillId="0" borderId="74" xfId="0" applyNumberFormat="1" applyFont="1" applyBorder="1" applyAlignment="1">
      <alignment horizontal="left"/>
    </xf>
    <xf numFmtId="166" fontId="52" fillId="0" borderId="0" xfId="0" applyNumberFormat="1" applyFont="1" applyFill="1" applyBorder="1" applyAlignment="1">
      <alignment horizontal="left"/>
    </xf>
    <xf numFmtId="0" fontId="51" fillId="0" borderId="72" xfId="0" applyFont="1" applyBorder="1"/>
    <xf numFmtId="1" fontId="12" fillId="0" borderId="41" xfId="0" applyNumberFormat="1" applyFont="1" applyBorder="1"/>
    <xf numFmtId="49" fontId="49" fillId="4" borderId="43" xfId="0" applyNumberFormat="1" applyFont="1" applyFill="1" applyBorder="1" applyAlignment="1">
      <alignment wrapText="1"/>
    </xf>
    <xf numFmtId="0" fontId="40" fillId="4" borderId="43" xfId="0" applyFont="1" applyFill="1" applyBorder="1" applyAlignment="1">
      <alignment wrapText="1"/>
    </xf>
    <xf numFmtId="0" fontId="49" fillId="4" borderId="43" xfId="0" applyFont="1" applyFill="1" applyBorder="1"/>
    <xf numFmtId="0" fontId="49" fillId="4" borderId="43" xfId="0" applyFont="1" applyFill="1" applyBorder="1" applyAlignment="1"/>
    <xf numFmtId="10" fontId="49" fillId="4" borderId="4" xfId="0" applyNumberFormat="1" applyFont="1" applyFill="1" applyBorder="1" applyAlignment="1">
      <alignment horizontal="right"/>
    </xf>
    <xf numFmtId="10" fontId="49" fillId="4" borderId="12" xfId="0" applyNumberFormat="1" applyFont="1" applyFill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66" fontId="40" fillId="0" borderId="10" xfId="5" applyNumberFormat="1" applyFont="1" applyBorder="1" applyAlignment="1">
      <alignment horizontal="right"/>
    </xf>
    <xf numFmtId="166" fontId="40" fillId="0" borderId="23" xfId="5" applyNumberFormat="1" applyFont="1" applyBorder="1" applyAlignment="1">
      <alignment horizontal="right"/>
    </xf>
    <xf numFmtId="166" fontId="40" fillId="0" borderId="13" xfId="5" applyNumberFormat="1" applyFont="1" applyBorder="1" applyAlignment="1">
      <alignment horizontal="right"/>
    </xf>
    <xf numFmtId="49" fontId="88" fillId="0" borderId="16" xfId="0" applyNumberFormat="1" applyFont="1" applyBorder="1" applyAlignment="1">
      <alignment horizontal="center" vertical="center"/>
    </xf>
    <xf numFmtId="0" fontId="88" fillId="0" borderId="4" xfId="0" applyFont="1" applyBorder="1" applyAlignment="1">
      <alignment wrapText="1"/>
    </xf>
    <xf numFmtId="166" fontId="50" fillId="0" borderId="9" xfId="0" applyNumberFormat="1" applyFont="1" applyBorder="1" applyAlignment="1">
      <alignment horizontal="right"/>
    </xf>
    <xf numFmtId="166" fontId="1" fillId="0" borderId="4" xfId="0" applyNumberFormat="1" applyFont="1" applyBorder="1"/>
    <xf numFmtId="166" fontId="1" fillId="0" borderId="62" xfId="0" applyNumberFormat="1" applyFont="1" applyBorder="1"/>
    <xf numFmtId="166" fontId="0" fillId="0" borderId="11" xfId="0" applyNumberFormat="1" applyBorder="1" applyAlignment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166" fontId="57" fillId="0" borderId="73" xfId="0" applyNumberFormat="1" applyFont="1" applyBorder="1" applyAlignment="1">
      <alignment horizontal="right"/>
    </xf>
    <xf numFmtId="166" fontId="57" fillId="0" borderId="74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0" fontId="51" fillId="0" borderId="6" xfId="5" applyNumberFormat="1" applyFont="1" applyBorder="1" applyAlignment="1">
      <alignment horizontal="center" wrapText="1"/>
    </xf>
    <xf numFmtId="164" fontId="51" fillId="0" borderId="6" xfId="5" applyNumberFormat="1" applyFont="1" applyBorder="1" applyAlignment="1">
      <alignment horizontal="center" wrapText="1"/>
    </xf>
    <xf numFmtId="164" fontId="51" fillId="0" borderId="7" xfId="5" applyNumberFormat="1" applyFont="1" applyBorder="1" applyAlignment="1">
      <alignment horizontal="center" wrapText="1"/>
    </xf>
    <xf numFmtId="49" fontId="51" fillId="0" borderId="8" xfId="0" applyNumberFormat="1" applyFont="1" applyBorder="1" applyAlignment="1">
      <alignment horizontal="center" wrapText="1"/>
    </xf>
    <xf numFmtId="0" fontId="51" fillId="0" borderId="9" xfId="0" applyFont="1" applyBorder="1" applyAlignment="1">
      <alignment horizontal="center" wrapText="1"/>
    </xf>
    <xf numFmtId="164" fontId="51" fillId="0" borderId="9" xfId="5" applyNumberFormat="1" applyFont="1" applyBorder="1" applyAlignment="1">
      <alignment horizontal="center" wrapText="1"/>
    </xf>
    <xf numFmtId="166" fontId="50" fillId="0" borderId="4" xfId="5" applyNumberFormat="1" applyFont="1" applyBorder="1" applyAlignment="1">
      <alignment horizontal="right" vertical="center" wrapText="1"/>
    </xf>
    <xf numFmtId="166" fontId="51" fillId="0" borderId="4" xfId="5" applyNumberFormat="1" applyFont="1" applyBorder="1" applyAlignment="1">
      <alignment horizontal="right" vertical="center" wrapText="1"/>
    </xf>
    <xf numFmtId="166" fontId="50" fillId="0" borderId="4" xfId="5" applyNumberFormat="1" applyFont="1" applyBorder="1" applyAlignment="1">
      <alignment horizontal="center" vertical="center" wrapText="1"/>
    </xf>
    <xf numFmtId="166" fontId="51" fillId="0" borderId="68" xfId="0" applyNumberFormat="1" applyFont="1" applyBorder="1" applyAlignment="1">
      <alignment horizontal="right"/>
    </xf>
    <xf numFmtId="0" fontId="50" fillId="0" borderId="9" xfId="0" quotePrefix="1" applyFont="1" applyBorder="1" applyAlignment="1">
      <alignment horizontal="left"/>
    </xf>
    <xf numFmtId="1" fontId="75" fillId="0" borderId="9" xfId="5" applyNumberFormat="1" applyFont="1" applyBorder="1" applyAlignment="1">
      <alignment horizontal="right"/>
    </xf>
    <xf numFmtId="0" fontId="50" fillId="0" borderId="9" xfId="0" applyFont="1" applyBorder="1"/>
    <xf numFmtId="1" fontId="75" fillId="0" borderId="12" xfId="5" applyNumberFormat="1" applyFont="1" applyBorder="1" applyAlignment="1">
      <alignment horizontal="right"/>
    </xf>
    <xf numFmtId="0" fontId="50" fillId="0" borderId="6" xfId="5" applyNumberFormat="1" applyFont="1" applyFill="1" applyBorder="1" applyAlignment="1">
      <alignment horizontal="right"/>
    </xf>
    <xf numFmtId="0" fontId="50" fillId="0" borderId="9" xfId="0" applyFont="1" applyBorder="1" applyAlignment="1">
      <alignment horizontal="left" vertical="center"/>
    </xf>
    <xf numFmtId="0" fontId="50" fillId="0" borderId="9" xfId="5" applyNumberFormat="1" applyFont="1" applyBorder="1" applyAlignment="1">
      <alignment horizontal="right" vertical="center" wrapText="1"/>
    </xf>
    <xf numFmtId="49" fontId="87" fillId="0" borderId="8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left" vertical="center"/>
    </xf>
    <xf numFmtId="0" fontId="87" fillId="0" borderId="9" xfId="5" applyNumberFormat="1" applyFont="1" applyBorder="1" applyAlignment="1">
      <alignment horizontal="right" vertical="center" wrapText="1"/>
    </xf>
    <xf numFmtId="166" fontId="87" fillId="0" borderId="9" xfId="5" applyNumberFormat="1" applyFont="1" applyBorder="1" applyAlignment="1">
      <alignment horizontal="right"/>
    </xf>
    <xf numFmtId="0" fontId="87" fillId="0" borderId="4" xfId="5" applyNumberFormat="1" applyFont="1" applyBorder="1" applyAlignment="1">
      <alignment horizontal="right" vertical="center" wrapText="1"/>
    </xf>
    <xf numFmtId="1" fontId="50" fillId="4" borderId="37" xfId="5" applyNumberFormat="1" applyFont="1" applyFill="1" applyBorder="1" applyAlignment="1">
      <alignment horizontal="right"/>
    </xf>
    <xf numFmtId="1" fontId="50" fillId="0" borderId="23" xfId="5" applyNumberFormat="1" applyFont="1" applyBorder="1" applyAlignment="1">
      <alignment horizontal="center" wrapText="1"/>
    </xf>
    <xf numFmtId="0" fontId="50" fillId="0" borderId="4" xfId="0" applyFont="1" applyBorder="1" applyAlignment="1">
      <alignment horizontal="left" vertical="center"/>
    </xf>
    <xf numFmtId="166" fontId="50" fillId="0" borderId="23" xfId="0" applyNumberFormat="1" applyFont="1" applyBorder="1" applyAlignment="1">
      <alignment horizontal="right"/>
    </xf>
    <xf numFmtId="166" fontId="50" fillId="0" borderId="13" xfId="0" applyNumberFormat="1" applyFont="1" applyBorder="1" applyAlignment="1">
      <alignment horizontal="right"/>
    </xf>
    <xf numFmtId="49" fontId="87" fillId="0" borderId="8" xfId="0" applyNumberFormat="1" applyFont="1" applyBorder="1" applyAlignment="1">
      <alignment horizontal="left" wrapText="1"/>
    </xf>
    <xf numFmtId="0" fontId="87" fillId="0" borderId="9" xfId="0" applyFont="1" applyBorder="1" applyAlignment="1"/>
    <xf numFmtId="1" fontId="87" fillId="0" borderId="9" xfId="5" applyNumberFormat="1" applyFont="1" applyBorder="1" applyAlignment="1">
      <alignment horizontal="center" wrapText="1"/>
    </xf>
    <xf numFmtId="49" fontId="87" fillId="0" borderId="16" xfId="0" applyNumberFormat="1" applyFont="1" applyBorder="1" applyAlignment="1">
      <alignment horizontal="left" wrapText="1"/>
    </xf>
    <xf numFmtId="1" fontId="87" fillId="0" borderId="4" xfId="5" applyNumberFormat="1" applyFont="1" applyBorder="1" applyAlignment="1">
      <alignment horizontal="center" wrapText="1"/>
    </xf>
    <xf numFmtId="0" fontId="87" fillId="0" borderId="4" xfId="0" applyFont="1" applyBorder="1"/>
    <xf numFmtId="1" fontId="87" fillId="0" borderId="4" xfId="0" applyNumberFormat="1" applyFont="1" applyBorder="1" applyAlignment="1">
      <alignment horizontal="right"/>
    </xf>
    <xf numFmtId="0" fontId="87" fillId="0" borderId="4" xfId="0" applyFont="1" applyBorder="1" applyAlignment="1">
      <alignment horizontal="left" vertical="center"/>
    </xf>
    <xf numFmtId="166" fontId="87" fillId="0" borderId="4" xfId="0" applyNumberFormat="1" applyFont="1" applyBorder="1" applyAlignment="1">
      <alignment horizontal="right"/>
    </xf>
    <xf numFmtId="166" fontId="87" fillId="0" borderId="4" xfId="5" quotePrefix="1" applyNumberFormat="1" applyFont="1" applyBorder="1" applyAlignment="1">
      <alignment horizontal="right"/>
    </xf>
    <xf numFmtId="166" fontId="87" fillId="0" borderId="4" xfId="5" applyNumberFormat="1" applyFont="1" applyFill="1" applyBorder="1" applyAlignment="1">
      <alignment horizontal="right"/>
    </xf>
    <xf numFmtId="1" fontId="87" fillId="0" borderId="4" xfId="5" applyNumberFormat="1" applyFont="1" applyBorder="1" applyAlignment="1">
      <alignment horizontal="right"/>
    </xf>
    <xf numFmtId="166" fontId="87" fillId="0" borderId="12" xfId="5" applyNumberFormat="1" applyFont="1" applyBorder="1" applyAlignment="1">
      <alignment horizontal="right"/>
    </xf>
    <xf numFmtId="166" fontId="87" fillId="0" borderId="12" xfId="0" applyNumberFormat="1" applyFont="1" applyBorder="1" applyAlignment="1">
      <alignment horizontal="right"/>
    </xf>
    <xf numFmtId="0" fontId="87" fillId="0" borderId="4" xfId="0" applyFont="1" applyBorder="1" applyAlignment="1">
      <alignment horizontal="left"/>
    </xf>
    <xf numFmtId="1" fontId="91" fillId="0" borderId="4" xfId="5" applyNumberFormat="1" applyFont="1" applyFill="1" applyBorder="1" applyAlignment="1">
      <alignment horizontal="right"/>
    </xf>
    <xf numFmtId="1" fontId="87" fillId="0" borderId="4" xfId="5" applyNumberFormat="1" applyFont="1" applyFill="1" applyBorder="1" applyAlignment="1">
      <alignment horizontal="center" wrapText="1"/>
    </xf>
    <xf numFmtId="49" fontId="51" fillId="6" borderId="19" xfId="0" applyNumberFormat="1" applyFont="1" applyFill="1" applyBorder="1" applyAlignment="1">
      <alignment horizontal="center"/>
    </xf>
    <xf numFmtId="0" fontId="50" fillId="6" borderId="4" xfId="0" applyFont="1" applyFill="1" applyBorder="1" applyAlignment="1">
      <alignment wrapText="1"/>
    </xf>
    <xf numFmtId="0" fontId="50" fillId="6" borderId="43" xfId="0" applyFont="1" applyFill="1" applyBorder="1" applyAlignment="1">
      <alignment wrapText="1"/>
    </xf>
    <xf numFmtId="0" fontId="51" fillId="3" borderId="52" xfId="0" applyFont="1" applyFill="1" applyBorder="1"/>
    <xf numFmtId="49" fontId="41" fillId="0" borderId="59" xfId="0" applyNumberFormat="1" applyFont="1" applyBorder="1" applyAlignment="1">
      <alignment horizontal="center" wrapText="1"/>
    </xf>
    <xf numFmtId="0" fontId="41" fillId="0" borderId="68" xfId="0" applyFont="1" applyBorder="1" applyAlignment="1">
      <alignment horizontal="center" wrapText="1"/>
    </xf>
    <xf numFmtId="164" fontId="41" fillId="0" borderId="68" xfId="5" applyNumberFormat="1" applyFont="1" applyBorder="1" applyAlignment="1">
      <alignment horizontal="center" wrapText="1"/>
    </xf>
    <xf numFmtId="164" fontId="41" fillId="0" borderId="69" xfId="5" applyNumberFormat="1" applyFont="1" applyBorder="1" applyAlignment="1">
      <alignment horizontal="center" wrapText="1"/>
    </xf>
    <xf numFmtId="49" fontId="40" fillId="0" borderId="8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wrapText="1"/>
    </xf>
    <xf numFmtId="166" fontId="41" fillId="0" borderId="23" xfId="5" applyNumberFormat="1" applyFont="1" applyBorder="1" applyAlignment="1">
      <alignment horizontal="right" vertical="center" wrapText="1"/>
    </xf>
    <xf numFmtId="0" fontId="57" fillId="0" borderId="75" xfId="0" applyFont="1" applyBorder="1"/>
    <xf numFmtId="0" fontId="57" fillId="0" borderId="73" xfId="0" applyFont="1" applyBorder="1"/>
    <xf numFmtId="0" fontId="57" fillId="0" borderId="20" xfId="0" applyFont="1" applyBorder="1"/>
    <xf numFmtId="0" fontId="57" fillId="0" borderId="45" xfId="0" applyFont="1" applyBorder="1"/>
    <xf numFmtId="0" fontId="56" fillId="0" borderId="72" xfId="0" applyFont="1" applyBorder="1"/>
    <xf numFmtId="166" fontId="56" fillId="0" borderId="72" xfId="0" applyNumberFormat="1" applyFont="1" applyBorder="1"/>
    <xf numFmtId="10" fontId="56" fillId="0" borderId="0" xfId="0" applyNumberFormat="1" applyFont="1"/>
    <xf numFmtId="0" fontId="4" fillId="0" borderId="31" xfId="0" applyFont="1" applyBorder="1"/>
    <xf numFmtId="1" fontId="4" fillId="0" borderId="76" xfId="0" applyNumberFormat="1" applyFont="1" applyBorder="1"/>
    <xf numFmtId="0" fontId="4" fillId="0" borderId="41" xfId="0" applyFont="1" applyBorder="1"/>
    <xf numFmtId="0" fontId="4" fillId="0" borderId="77" xfId="0" applyFont="1" applyBorder="1"/>
    <xf numFmtId="164" fontId="41" fillId="0" borderId="6" xfId="5" applyNumberFormat="1" applyFont="1" applyBorder="1" applyAlignment="1">
      <alignment horizontal="center" wrapText="1"/>
    </xf>
    <xf numFmtId="164" fontId="41" fillId="0" borderId="7" xfId="5" applyNumberFormat="1" applyFont="1" applyBorder="1" applyAlignment="1">
      <alignment horizontal="center" wrapText="1"/>
    </xf>
    <xf numFmtId="49" fontId="49" fillId="0" borderId="16" xfId="0" applyNumberFormat="1" applyFont="1" applyBorder="1" applyAlignment="1">
      <alignment horizontal="center" wrapText="1"/>
    </xf>
    <xf numFmtId="166" fontId="43" fillId="0" borderId="4" xfId="5" applyNumberFormat="1" applyFont="1" applyBorder="1" applyAlignment="1">
      <alignment horizontal="center" vertical="center" wrapText="1"/>
    </xf>
    <xf numFmtId="164" fontId="41" fillId="0" borderId="73" xfId="5" applyNumberFormat="1" applyFont="1" applyFill="1" applyBorder="1" applyAlignment="1">
      <alignment horizontal="center"/>
    </xf>
    <xf numFmtId="49" fontId="49" fillId="0" borderId="8" xfId="0" applyNumberFormat="1" applyFont="1" applyBorder="1" applyAlignment="1">
      <alignment horizontal="center" wrapText="1"/>
    </xf>
    <xf numFmtId="1" fontId="43" fillId="4" borderId="25" xfId="5" applyNumberFormat="1" applyFont="1" applyFill="1" applyBorder="1" applyAlignment="1">
      <alignment horizontal="right"/>
    </xf>
    <xf numFmtId="1" fontId="43" fillId="4" borderId="37" xfId="5" applyNumberFormat="1" applyFont="1" applyFill="1" applyBorder="1" applyAlignment="1">
      <alignment horizontal="right"/>
    </xf>
    <xf numFmtId="1" fontId="43" fillId="4" borderId="39" xfId="5" applyNumberFormat="1" applyFont="1" applyFill="1" applyBorder="1" applyAlignment="1">
      <alignment horizontal="right"/>
    </xf>
    <xf numFmtId="0" fontId="49" fillId="0" borderId="9" xfId="0" applyFont="1" applyBorder="1" applyAlignment="1"/>
    <xf numFmtId="1" fontId="43" fillId="0" borderId="9" xfId="5" applyNumberFormat="1" applyFont="1" applyBorder="1" applyAlignment="1">
      <alignment horizontal="center" wrapText="1"/>
    </xf>
    <xf numFmtId="1" fontId="43" fillId="0" borderId="10" xfId="5" applyNumberFormat="1" applyFont="1" applyBorder="1" applyAlignment="1">
      <alignment horizontal="center" wrapText="1"/>
    </xf>
    <xf numFmtId="1" fontId="43" fillId="0" borderId="23" xfId="5" applyNumberFormat="1" applyFont="1" applyBorder="1" applyAlignment="1">
      <alignment horizontal="center" wrapText="1"/>
    </xf>
    <xf numFmtId="166" fontId="43" fillId="0" borderId="23" xfId="0" applyNumberFormat="1" applyFont="1" applyBorder="1" applyAlignment="1">
      <alignment horizontal="right"/>
    </xf>
    <xf numFmtId="166" fontId="43" fillId="0" borderId="4" xfId="5" quotePrefix="1" applyNumberFormat="1" applyFont="1" applyBorder="1" applyAlignment="1">
      <alignment horizontal="right"/>
    </xf>
    <xf numFmtId="166" fontId="43" fillId="0" borderId="13" xfId="0" applyNumberFormat="1" applyFont="1" applyBorder="1" applyAlignment="1">
      <alignment horizontal="right"/>
    </xf>
    <xf numFmtId="166" fontId="43" fillId="0" borderId="43" xfId="0" applyNumberFormat="1" applyFont="1" applyBorder="1" applyAlignment="1">
      <alignment horizontal="right"/>
    </xf>
    <xf numFmtId="49" fontId="51" fillId="0" borderId="16" xfId="0" applyNumberFormat="1" applyFont="1" applyBorder="1" applyAlignment="1">
      <alignment horizontal="center"/>
    </xf>
    <xf numFmtId="1" fontId="39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10" fontId="5" fillId="0" borderId="0" xfId="0" applyNumberFormat="1" applyFont="1" applyAlignment="1"/>
    <xf numFmtId="0" fontId="2" fillId="0" borderId="0" xfId="0" applyFont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0" fillId="0" borderId="32" xfId="0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0" fillId="0" borderId="29" xfId="0" applyFill="1" applyBorder="1"/>
    <xf numFmtId="0" fontId="8" fillId="0" borderId="57" xfId="0" applyFont="1" applyFill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 applyAlignment="1"/>
    <xf numFmtId="0" fontId="7" fillId="0" borderId="51" xfId="0" applyFont="1" applyBorder="1"/>
    <xf numFmtId="0" fontId="8" fillId="0" borderId="2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0" fontId="0" fillId="0" borderId="79" xfId="0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Fill="1" applyBorder="1"/>
    <xf numFmtId="0" fontId="1" fillId="0" borderId="72" xfId="0" applyFont="1" applyBorder="1"/>
    <xf numFmtId="0" fontId="0" fillId="0" borderId="0" xfId="0" applyBorder="1" applyAlignment="1"/>
    <xf numFmtId="0" fontId="7" fillId="3" borderId="48" xfId="0" applyFont="1" applyFill="1" applyBorder="1" applyAlignment="1">
      <alignment wrapText="1"/>
    </xf>
    <xf numFmtId="0" fontId="87" fillId="0" borderId="12" xfId="0" applyFont="1" applyBorder="1" applyAlignment="1"/>
    <xf numFmtId="49" fontId="50" fillId="0" borderId="14" xfId="0" applyNumberFormat="1" applyFont="1" applyBorder="1" applyAlignment="1">
      <alignment horizontal="center" vertical="center"/>
    </xf>
    <xf numFmtId="49" fontId="50" fillId="0" borderId="11" xfId="0" applyNumberFormat="1" applyFont="1" applyBorder="1" applyAlignment="1">
      <alignment horizontal="center" vertical="center"/>
    </xf>
    <xf numFmtId="0" fontId="50" fillId="0" borderId="36" xfId="0" applyFont="1" applyBorder="1"/>
    <xf numFmtId="164" fontId="51" fillId="4" borderId="24" xfId="5" applyNumberFormat="1" applyFont="1" applyFill="1" applyBorder="1" applyAlignment="1">
      <alignment horizontal="center"/>
    </xf>
    <xf numFmtId="164" fontId="51" fillId="4" borderId="27" xfId="5" applyNumberFormat="1" applyFont="1" applyFill="1" applyBorder="1" applyAlignment="1">
      <alignment horizontal="center"/>
    </xf>
    <xf numFmtId="166" fontId="51" fillId="4" borderId="27" xfId="5" applyNumberFormat="1" applyFont="1" applyFill="1" applyBorder="1" applyAlignment="1">
      <alignment horizontal="right" vertical="center"/>
    </xf>
    <xf numFmtId="166" fontId="51" fillId="4" borderId="48" xfId="5" applyNumberFormat="1" applyFont="1" applyFill="1" applyBorder="1" applyAlignment="1">
      <alignment horizontal="right" vertical="center"/>
    </xf>
    <xf numFmtId="166" fontId="51" fillId="4" borderId="44" xfId="5" applyNumberFormat="1" applyFont="1" applyFill="1" applyBorder="1" applyAlignment="1">
      <alignment horizontal="right" vertical="center"/>
    </xf>
    <xf numFmtId="166" fontId="51" fillId="4" borderId="46" xfId="5" applyNumberFormat="1" applyFont="1" applyFill="1" applyBorder="1" applyAlignment="1">
      <alignment horizontal="right" vertical="center"/>
    </xf>
    <xf numFmtId="166" fontId="51" fillId="4" borderId="24" xfId="5" applyNumberFormat="1" applyFont="1" applyFill="1" applyBorder="1" applyAlignment="1">
      <alignment horizontal="right" vertical="center"/>
    </xf>
    <xf numFmtId="166" fontId="51" fillId="4" borderId="78" xfId="5" applyNumberFormat="1" applyFont="1" applyFill="1" applyBorder="1" applyAlignment="1">
      <alignment horizontal="right" vertical="center"/>
    </xf>
    <xf numFmtId="166" fontId="41" fillId="5" borderId="27" xfId="5" applyNumberFormat="1" applyFont="1" applyFill="1" applyBorder="1" applyAlignment="1">
      <alignment horizontal="right" vertical="center"/>
    </xf>
    <xf numFmtId="166" fontId="41" fillId="5" borderId="24" xfId="5" applyNumberFormat="1" applyFont="1" applyFill="1" applyBorder="1" applyAlignment="1">
      <alignment horizontal="right" vertical="center"/>
    </xf>
    <xf numFmtId="166" fontId="88" fillId="5" borderId="27" xfId="5" applyNumberFormat="1" applyFont="1" applyFill="1" applyBorder="1" applyAlignment="1">
      <alignment horizontal="right" vertical="center"/>
    </xf>
    <xf numFmtId="166" fontId="88" fillId="5" borderId="24" xfId="5" applyNumberFormat="1" applyFont="1" applyFill="1" applyBorder="1" applyAlignment="1">
      <alignment horizontal="right" vertical="center"/>
    </xf>
    <xf numFmtId="166" fontId="51" fillId="0" borderId="27" xfId="5" applyNumberFormat="1" applyFont="1" applyFill="1" applyBorder="1" applyAlignment="1">
      <alignment horizontal="right" vertical="center"/>
    </xf>
    <xf numFmtId="166" fontId="51" fillId="3" borderId="31" xfId="0" applyNumberFormat="1" applyFont="1" applyFill="1" applyBorder="1" applyAlignment="1">
      <alignment horizontal="right"/>
    </xf>
    <xf numFmtId="166" fontId="51" fillId="3" borderId="33" xfId="0" applyNumberFormat="1" applyFont="1" applyFill="1" applyBorder="1" applyAlignment="1">
      <alignment horizontal="right"/>
    </xf>
    <xf numFmtId="10" fontId="51" fillId="3" borderId="69" xfId="0" applyNumberFormat="1" applyFont="1" applyFill="1" applyBorder="1" applyAlignment="1">
      <alignment horizontal="right"/>
    </xf>
    <xf numFmtId="166" fontId="51" fillId="3" borderId="62" xfId="0" applyNumberFormat="1" applyFont="1" applyFill="1" applyBorder="1" applyAlignment="1">
      <alignment horizontal="right"/>
    </xf>
    <xf numFmtId="10" fontId="51" fillId="3" borderId="56" xfId="0" applyNumberFormat="1" applyFont="1" applyFill="1" applyBorder="1" applyAlignment="1">
      <alignment horizontal="right"/>
    </xf>
    <xf numFmtId="166" fontId="50" fillId="0" borderId="46" xfId="5" applyNumberFormat="1" applyFont="1" applyBorder="1" applyAlignment="1">
      <alignment horizontal="right"/>
    </xf>
    <xf numFmtId="166" fontId="51" fillId="4" borderId="27" xfId="5" applyNumberFormat="1" applyFont="1" applyFill="1" applyBorder="1" applyAlignment="1">
      <alignment horizontal="right"/>
    </xf>
    <xf numFmtId="166" fontId="83" fillId="5" borderId="27" xfId="5" applyNumberFormat="1" applyFont="1" applyFill="1" applyBorder="1" applyAlignment="1">
      <alignment horizontal="right" vertical="center"/>
    </xf>
    <xf numFmtId="166" fontId="51" fillId="3" borderId="56" xfId="0" applyNumberFormat="1" applyFont="1" applyFill="1" applyBorder="1" applyAlignment="1">
      <alignment horizontal="right"/>
    </xf>
    <xf numFmtId="164" fontId="51" fillId="0" borderId="79" xfId="5" applyNumberFormat="1" applyFont="1" applyBorder="1" applyAlignment="1">
      <alignment horizontal="center" textRotation="90" wrapText="1"/>
    </xf>
    <xf numFmtId="1" fontId="87" fillId="0" borderId="79" xfId="5" applyNumberFormat="1" applyFont="1" applyBorder="1" applyAlignment="1">
      <alignment horizontal="center" wrapText="1"/>
    </xf>
    <xf numFmtId="1" fontId="87" fillId="0" borderId="62" xfId="5" applyNumberFormat="1" applyFont="1" applyBorder="1" applyAlignment="1">
      <alignment horizontal="center" wrapText="1"/>
    </xf>
    <xf numFmtId="166" fontId="87" fillId="0" borderId="62" xfId="0" applyNumberFormat="1" applyFont="1" applyBorder="1" applyAlignment="1">
      <alignment horizontal="right"/>
    </xf>
    <xf numFmtId="166" fontId="87" fillId="0" borderId="56" xfId="0" applyNumberFormat="1" applyFont="1" applyBorder="1" applyAlignment="1">
      <alignment horizontal="right"/>
    </xf>
    <xf numFmtId="166" fontId="51" fillId="0" borderId="21" xfId="0" applyNumberFormat="1" applyFont="1" applyBorder="1" applyAlignment="1">
      <alignment horizontal="right"/>
    </xf>
    <xf numFmtId="166" fontId="51" fillId="0" borderId="7" xfId="0" applyNumberFormat="1" applyFont="1" applyBorder="1" applyAlignment="1">
      <alignment horizontal="right"/>
    </xf>
    <xf numFmtId="0" fontId="50" fillId="0" borderId="61" xfId="0" applyFont="1" applyBorder="1"/>
    <xf numFmtId="0" fontId="50" fillId="0" borderId="62" xfId="0" applyFont="1" applyBorder="1"/>
    <xf numFmtId="166" fontId="50" fillId="0" borderId="60" xfId="0" applyNumberFormat="1" applyFont="1" applyBorder="1" applyAlignment="1">
      <alignment horizontal="right"/>
    </xf>
    <xf numFmtId="166" fontId="50" fillId="0" borderId="61" xfId="0" applyNumberFormat="1" applyFont="1" applyBorder="1" applyAlignment="1">
      <alignment horizontal="right"/>
    </xf>
    <xf numFmtId="166" fontId="50" fillId="0" borderId="79" xfId="0" applyNumberFormat="1" applyFont="1" applyBorder="1" applyAlignment="1">
      <alignment horizontal="right"/>
    </xf>
    <xf numFmtId="166" fontId="50" fillId="0" borderId="62" xfId="0" applyNumberFormat="1" applyFont="1" applyBorder="1" applyAlignment="1">
      <alignment horizontal="right"/>
    </xf>
    <xf numFmtId="1" fontId="50" fillId="0" borderId="62" xfId="5" applyNumberFormat="1" applyFont="1" applyBorder="1" applyAlignment="1">
      <alignment horizontal="center" wrapText="1"/>
    </xf>
    <xf numFmtId="166" fontId="50" fillId="0" borderId="56" xfId="0" applyNumberFormat="1" applyFont="1" applyBorder="1" applyAlignment="1">
      <alignment horizontal="right"/>
    </xf>
    <xf numFmtId="166" fontId="51" fillId="3" borderId="7" xfId="0" applyNumberFormat="1" applyFont="1" applyFill="1" applyBorder="1" applyAlignment="1">
      <alignment horizontal="right"/>
    </xf>
    <xf numFmtId="165" fontId="50" fillId="4" borderId="62" xfId="0" applyNumberFormat="1" applyFont="1" applyFill="1" applyBorder="1"/>
    <xf numFmtId="0" fontId="51" fillId="0" borderId="7" xfId="0" applyFont="1" applyBorder="1" applyAlignment="1">
      <alignment horizontal="center"/>
    </xf>
    <xf numFmtId="0" fontId="50" fillId="0" borderId="7" xfId="0" applyFont="1" applyBorder="1"/>
    <xf numFmtId="166" fontId="50" fillId="0" borderId="7" xfId="0" applyNumberFormat="1" applyFont="1" applyBorder="1" applyAlignment="1">
      <alignment horizontal="right"/>
    </xf>
    <xf numFmtId="0" fontId="66" fillId="0" borderId="0" xfId="0" applyFont="1" applyBorder="1" applyAlignment="1"/>
    <xf numFmtId="1" fontId="87" fillId="0" borderId="7" xfId="5" applyNumberFormat="1" applyFont="1" applyBorder="1" applyAlignment="1">
      <alignment horizontal="center" wrapText="1"/>
    </xf>
    <xf numFmtId="1" fontId="50" fillId="4" borderId="0" xfId="5" applyNumberFormat="1" applyFont="1" applyFill="1" applyBorder="1" applyAlignment="1">
      <alignment horizontal="right"/>
    </xf>
    <xf numFmtId="166" fontId="87" fillId="0" borderId="7" xfId="0" applyNumberFormat="1" applyFont="1" applyBorder="1" applyAlignment="1">
      <alignment horizontal="right"/>
    </xf>
    <xf numFmtId="1" fontId="50" fillId="0" borderId="7" xfId="5" applyNumberFormat="1" applyFont="1" applyBorder="1" applyAlignment="1">
      <alignment horizontal="center" wrapText="1"/>
    </xf>
    <xf numFmtId="166" fontId="51" fillId="3" borderId="0" xfId="0" applyNumberFormat="1" applyFont="1" applyFill="1" applyBorder="1" applyAlignment="1">
      <alignment horizontal="right"/>
    </xf>
    <xf numFmtId="0" fontId="74" fillId="0" borderId="0" xfId="0" applyFont="1" applyBorder="1"/>
    <xf numFmtId="165" fontId="50" fillId="4" borderId="7" xfId="0" applyNumberFormat="1" applyFont="1" applyFill="1" applyBorder="1"/>
    <xf numFmtId="165" fontId="50" fillId="4" borderId="0" xfId="0" applyNumberFormat="1" applyFont="1" applyFill="1" applyBorder="1"/>
    <xf numFmtId="165" fontId="50" fillId="0" borderId="0" xfId="0" applyNumberFormat="1" applyFont="1" applyBorder="1"/>
    <xf numFmtId="165" fontId="66" fillId="0" borderId="0" xfId="0" applyNumberFormat="1" applyFont="1" applyFill="1" applyBorder="1"/>
    <xf numFmtId="165" fontId="66" fillId="0" borderId="0" xfId="0" applyNumberFormat="1" applyFont="1" applyBorder="1"/>
    <xf numFmtId="10" fontId="66" fillId="4" borderId="7" xfId="0" applyNumberFormat="1" applyFont="1" applyFill="1" applyBorder="1"/>
    <xf numFmtId="10" fontId="66" fillId="4" borderId="0" xfId="0" applyNumberFormat="1" applyFont="1" applyFill="1" applyBorder="1"/>
    <xf numFmtId="165" fontId="66" fillId="0" borderId="7" xfId="0" applyNumberFormat="1" applyFont="1" applyBorder="1"/>
    <xf numFmtId="165" fontId="43" fillId="0" borderId="0" xfId="0" applyNumberFormat="1" applyFont="1" applyBorder="1"/>
    <xf numFmtId="0" fontId="66" fillId="0" borderId="7" xfId="0" applyFont="1" applyBorder="1"/>
    <xf numFmtId="49" fontId="50" fillId="0" borderId="14" xfId="0" applyNumberFormat="1" applyFont="1" applyBorder="1" applyAlignment="1">
      <alignment horizontal="center" wrapText="1"/>
    </xf>
    <xf numFmtId="166" fontId="50" fillId="0" borderId="5" xfId="5" applyNumberFormat="1" applyFont="1" applyBorder="1" applyAlignment="1">
      <alignment horizontal="right" vertical="center" wrapText="1"/>
    </xf>
    <xf numFmtId="166" fontId="51" fillId="0" borderId="5" xfId="5" applyNumberFormat="1" applyFont="1" applyBorder="1" applyAlignment="1">
      <alignment horizontal="right" vertical="center" wrapText="1"/>
    </xf>
    <xf numFmtId="166" fontId="50" fillId="0" borderId="5" xfId="5" applyNumberFormat="1" applyFont="1" applyBorder="1" applyAlignment="1">
      <alignment horizontal="center" vertical="center" wrapText="1"/>
    </xf>
    <xf numFmtId="49" fontId="50" fillId="0" borderId="14" xfId="0" applyNumberFormat="1" applyFont="1" applyBorder="1" applyAlignment="1">
      <alignment horizontal="center"/>
    </xf>
    <xf numFmtId="1" fontId="50" fillId="0" borderId="5" xfId="5" applyNumberFormat="1" applyFont="1" applyBorder="1" applyAlignment="1">
      <alignment horizontal="right"/>
    </xf>
    <xf numFmtId="49" fontId="87" fillId="0" borderId="14" xfId="0" applyNumberFormat="1" applyFont="1" applyBorder="1" applyAlignment="1">
      <alignment horizontal="center" vertical="center"/>
    </xf>
    <xf numFmtId="0" fontId="87" fillId="0" borderId="5" xfId="0" applyFont="1" applyBorder="1" applyAlignment="1">
      <alignment wrapText="1"/>
    </xf>
    <xf numFmtId="166" fontId="40" fillId="0" borderId="5" xfId="5" applyNumberFormat="1" applyFont="1" applyBorder="1" applyAlignment="1">
      <alignment horizontal="right"/>
    </xf>
    <xf numFmtId="49" fontId="87" fillId="0" borderId="14" xfId="0" applyNumberFormat="1" applyFont="1" applyBorder="1" applyAlignment="1">
      <alignment horizontal="center"/>
    </xf>
    <xf numFmtId="166" fontId="87" fillId="0" borderId="5" xfId="5" applyNumberFormat="1" applyFont="1" applyBorder="1" applyAlignment="1">
      <alignment horizontal="right"/>
    </xf>
    <xf numFmtId="0" fontId="87" fillId="0" borderId="5" xfId="0" applyFont="1" applyBorder="1" applyAlignment="1"/>
    <xf numFmtId="49" fontId="50" fillId="0" borderId="11" xfId="0" applyNumberFormat="1" applyFont="1" applyBorder="1" applyAlignment="1">
      <alignment horizontal="center" wrapText="1"/>
    </xf>
    <xf numFmtId="166" fontId="50" fillId="0" borderId="12" xfId="5" applyNumberFormat="1" applyFont="1" applyBorder="1" applyAlignment="1">
      <alignment horizontal="right" vertical="center" wrapText="1"/>
    </xf>
    <xf numFmtId="166" fontId="51" fillId="0" borderId="12" xfId="5" applyNumberFormat="1" applyFont="1" applyBorder="1" applyAlignment="1">
      <alignment horizontal="right" vertical="center" wrapText="1"/>
    </xf>
    <xf numFmtId="166" fontId="41" fillId="5" borderId="78" xfId="5" applyNumberFormat="1" applyFont="1" applyFill="1" applyBorder="1" applyAlignment="1">
      <alignment horizontal="right" vertical="center"/>
    </xf>
    <xf numFmtId="166" fontId="88" fillId="5" borderId="78" xfId="5" applyNumberFormat="1" applyFont="1" applyFill="1" applyBorder="1" applyAlignment="1">
      <alignment horizontal="right" vertical="center"/>
    </xf>
    <xf numFmtId="0" fontId="87" fillId="0" borderId="5" xfId="5" applyNumberFormat="1" applyFont="1" applyBorder="1" applyAlignment="1">
      <alignment horizontal="right" vertical="center" wrapText="1"/>
    </xf>
    <xf numFmtId="49" fontId="87" fillId="0" borderId="14" xfId="0" applyNumberFormat="1" applyFont="1" applyBorder="1" applyAlignment="1">
      <alignment horizontal="center" wrapText="1"/>
    </xf>
    <xf numFmtId="0" fontId="87" fillId="0" borderId="12" xfId="5" applyNumberFormat="1" applyFont="1" applyBorder="1" applyAlignment="1">
      <alignment horizontal="right" vertical="center" wrapText="1"/>
    </xf>
    <xf numFmtId="166" fontId="51" fillId="4" borderId="48" xfId="5" applyNumberFormat="1" applyFont="1" applyFill="1" applyBorder="1" applyAlignment="1">
      <alignment horizontal="right"/>
    </xf>
    <xf numFmtId="49" fontId="87" fillId="0" borderId="11" xfId="0" applyNumberFormat="1" applyFont="1" applyBorder="1" applyAlignment="1">
      <alignment horizontal="center" wrapText="1"/>
    </xf>
    <xf numFmtId="0" fontId="87" fillId="0" borderId="36" xfId="0" applyFont="1" applyBorder="1"/>
    <xf numFmtId="166" fontId="83" fillId="5" borderId="48" xfId="5" applyNumberFormat="1" applyFont="1" applyFill="1" applyBorder="1" applyAlignment="1">
      <alignment horizontal="right" vertical="center"/>
    </xf>
    <xf numFmtId="49" fontId="87" fillId="0" borderId="14" xfId="0" applyNumberFormat="1" applyFont="1" applyBorder="1" applyAlignment="1">
      <alignment horizontal="left" wrapText="1"/>
    </xf>
    <xf numFmtId="1" fontId="87" fillId="0" borderId="5" xfId="5" applyNumberFormat="1" applyFont="1" applyBorder="1" applyAlignment="1">
      <alignment horizontal="center" wrapText="1"/>
    </xf>
    <xf numFmtId="1" fontId="87" fillId="0" borderId="60" xfId="5" applyNumberFormat="1" applyFont="1" applyBorder="1" applyAlignment="1">
      <alignment horizontal="center" wrapText="1"/>
    </xf>
    <xf numFmtId="0" fontId="87" fillId="0" borderId="5" xfId="0" applyFont="1" applyBorder="1" applyAlignment="1">
      <alignment horizontal="left"/>
    </xf>
    <xf numFmtId="1" fontId="87" fillId="0" borderId="5" xfId="5" applyNumberFormat="1" applyFont="1" applyBorder="1" applyAlignment="1">
      <alignment horizontal="right"/>
    </xf>
    <xf numFmtId="1" fontId="91" fillId="0" borderId="5" xfId="5" applyNumberFormat="1" applyFont="1" applyFill="1" applyBorder="1" applyAlignment="1">
      <alignment horizontal="right"/>
    </xf>
    <xf numFmtId="1" fontId="87" fillId="0" borderId="5" xfId="0" applyNumberFormat="1" applyFont="1" applyBorder="1" applyAlignment="1">
      <alignment horizontal="right"/>
    </xf>
    <xf numFmtId="166" fontId="87" fillId="0" borderId="5" xfId="0" applyNumberFormat="1" applyFont="1" applyBorder="1" applyAlignment="1">
      <alignment horizontal="right"/>
    </xf>
    <xf numFmtId="166" fontId="87" fillId="0" borderId="60" xfId="0" applyNumberFormat="1" applyFont="1" applyBorder="1" applyAlignment="1">
      <alignment horizontal="right"/>
    </xf>
    <xf numFmtId="166" fontId="87" fillId="0" borderId="5" xfId="5" quotePrefix="1" applyNumberFormat="1" applyFont="1" applyBorder="1" applyAlignment="1">
      <alignment horizontal="right"/>
    </xf>
    <xf numFmtId="166" fontId="87" fillId="0" borderId="5" xfId="5" applyNumberFormat="1" applyFont="1" applyFill="1" applyBorder="1" applyAlignment="1">
      <alignment horizontal="right"/>
    </xf>
    <xf numFmtId="49" fontId="87" fillId="0" borderId="11" xfId="0" applyNumberFormat="1" applyFont="1" applyBorder="1" applyAlignment="1">
      <alignment horizontal="left" wrapText="1"/>
    </xf>
    <xf numFmtId="1" fontId="87" fillId="0" borderId="12" xfId="5" applyNumberFormat="1" applyFont="1" applyBorder="1" applyAlignment="1">
      <alignment horizontal="center" wrapText="1"/>
    </xf>
    <xf numFmtId="1" fontId="87" fillId="0" borderId="56" xfId="5" applyNumberFormat="1" applyFont="1" applyBorder="1" applyAlignment="1">
      <alignment horizontal="center" wrapText="1"/>
    </xf>
    <xf numFmtId="0" fontId="50" fillId="0" borderId="36" xfId="0" applyFont="1" applyBorder="1" applyAlignment="1"/>
    <xf numFmtId="0" fontId="87" fillId="0" borderId="12" xfId="0" applyFont="1" applyBorder="1" applyAlignment="1">
      <alignment horizontal="left"/>
    </xf>
    <xf numFmtId="1" fontId="87" fillId="0" borderId="12" xfId="5" applyNumberFormat="1" applyFont="1" applyBorder="1" applyAlignment="1">
      <alignment horizontal="right"/>
    </xf>
    <xf numFmtId="1" fontId="91" fillId="0" borderId="12" xfId="5" applyNumberFormat="1" applyFont="1" applyFill="1" applyBorder="1" applyAlignment="1">
      <alignment horizontal="right"/>
    </xf>
    <xf numFmtId="1" fontId="87" fillId="0" borderId="12" xfId="0" applyNumberFormat="1" applyFont="1" applyBorder="1" applyAlignment="1">
      <alignment horizontal="right"/>
    </xf>
    <xf numFmtId="166" fontId="87" fillId="0" borderId="12" xfId="5" quotePrefix="1" applyNumberFormat="1" applyFont="1" applyBorder="1" applyAlignment="1">
      <alignment horizontal="right"/>
    </xf>
    <xf numFmtId="166" fontId="87" fillId="0" borderId="12" xfId="5" applyNumberFormat="1" applyFont="1" applyFill="1" applyBorder="1" applyAlignment="1">
      <alignment horizontal="right"/>
    </xf>
    <xf numFmtId="0" fontId="50" fillId="0" borderId="5" xfId="5" applyNumberFormat="1" applyFont="1" applyBorder="1" applyAlignment="1">
      <alignment horizontal="right" vertical="center" wrapText="1"/>
    </xf>
    <xf numFmtId="49" fontId="50" fillId="0" borderId="14" xfId="0" applyNumberFormat="1" applyFont="1" applyBorder="1" applyAlignment="1">
      <alignment horizontal="left" wrapText="1"/>
    </xf>
    <xf numFmtId="1" fontId="50" fillId="0" borderId="60" xfId="5" applyNumberFormat="1" applyFont="1" applyBorder="1" applyAlignment="1">
      <alignment horizontal="center" wrapText="1"/>
    </xf>
    <xf numFmtId="1" fontId="50" fillId="0" borderId="56" xfId="5" applyNumberFormat="1" applyFont="1" applyBorder="1" applyAlignment="1">
      <alignment horizontal="center" wrapText="1"/>
    </xf>
    <xf numFmtId="164" fontId="51" fillId="0" borderId="79" xfId="5" applyNumberFormat="1" applyFont="1" applyBorder="1" applyAlignment="1">
      <alignment horizontal="center" wrapText="1"/>
    </xf>
    <xf numFmtId="164" fontId="51" fillId="0" borderId="62" xfId="5" applyNumberFormat="1" applyFont="1" applyBorder="1" applyAlignment="1">
      <alignment horizontal="center" wrapText="1"/>
    </xf>
    <xf numFmtId="166" fontId="50" fillId="0" borderId="62" xfId="5" applyNumberFormat="1" applyFont="1" applyBorder="1" applyAlignment="1">
      <alignment horizontal="right"/>
    </xf>
    <xf numFmtId="166" fontId="50" fillId="0" borderId="56" xfId="5" applyNumberFormat="1" applyFont="1" applyBorder="1" applyAlignment="1">
      <alignment horizontal="right"/>
    </xf>
    <xf numFmtId="166" fontId="50" fillId="0" borderId="60" xfId="5" applyNumberFormat="1" applyFont="1" applyBorder="1" applyAlignment="1">
      <alignment horizontal="right"/>
    </xf>
    <xf numFmtId="166" fontId="51" fillId="0" borderId="62" xfId="5" applyNumberFormat="1" applyFont="1" applyBorder="1" applyAlignment="1">
      <alignment horizontal="right" vertical="center" wrapText="1"/>
    </xf>
    <xf numFmtId="166" fontId="51" fillId="0" borderId="56" xfId="5" applyNumberFormat="1" applyFont="1" applyBorder="1" applyAlignment="1">
      <alignment horizontal="right" vertical="center" wrapText="1"/>
    </xf>
    <xf numFmtId="166" fontId="51" fillId="0" borderId="60" xfId="5" applyNumberFormat="1" applyFont="1" applyBorder="1" applyAlignment="1">
      <alignment horizontal="right" vertical="center" wrapText="1"/>
    </xf>
    <xf numFmtId="166" fontId="40" fillId="0" borderId="62" xfId="5" applyNumberFormat="1" applyFont="1" applyBorder="1" applyAlignment="1">
      <alignment horizontal="right"/>
    </xf>
    <xf numFmtId="166" fontId="40" fillId="0" borderId="56" xfId="5" applyNumberFormat="1" applyFont="1" applyBorder="1" applyAlignment="1">
      <alignment horizontal="right"/>
    </xf>
    <xf numFmtId="166" fontId="40" fillId="0" borderId="60" xfId="5" applyNumberFormat="1" applyFont="1" applyBorder="1" applyAlignment="1">
      <alignment horizontal="right"/>
    </xf>
    <xf numFmtId="166" fontId="87" fillId="0" borderId="62" xfId="5" applyNumberFormat="1" applyFont="1" applyBorder="1" applyAlignment="1">
      <alignment horizontal="right"/>
    </xf>
    <xf numFmtId="166" fontId="87" fillId="0" borderId="56" xfId="5" applyNumberFormat="1" applyFont="1" applyBorder="1" applyAlignment="1">
      <alignment horizontal="right"/>
    </xf>
    <xf numFmtId="166" fontId="87" fillId="0" borderId="60" xfId="5" applyNumberFormat="1" applyFont="1" applyBorder="1" applyAlignment="1">
      <alignment horizontal="right"/>
    </xf>
    <xf numFmtId="166" fontId="51" fillId="0" borderId="69" xfId="0" applyNumberFormat="1" applyFont="1" applyBorder="1" applyAlignment="1">
      <alignment horizontal="right"/>
    </xf>
    <xf numFmtId="0" fontId="50" fillId="0" borderId="79" xfId="0" applyFont="1" applyBorder="1"/>
    <xf numFmtId="0" fontId="50" fillId="0" borderId="56" xfId="0" applyFont="1" applyBorder="1"/>
    <xf numFmtId="166" fontId="87" fillId="0" borderId="79" xfId="5" applyNumberFormat="1" applyFont="1" applyBorder="1" applyAlignment="1">
      <alignment horizontal="right"/>
    </xf>
    <xf numFmtId="164" fontId="51" fillId="0" borderId="8" xfId="5" applyNumberFormat="1" applyFont="1" applyBorder="1" applyAlignment="1">
      <alignment horizontal="center" wrapText="1"/>
    </xf>
    <xf numFmtId="166" fontId="51" fillId="3" borderId="18" xfId="0" applyNumberFormat="1" applyFont="1" applyFill="1" applyBorder="1" applyAlignment="1">
      <alignment horizontal="right"/>
    </xf>
    <xf numFmtId="1" fontId="50" fillId="4" borderId="20" xfId="5" applyNumberFormat="1" applyFont="1" applyFill="1" applyBorder="1" applyAlignment="1">
      <alignment horizontal="right"/>
    </xf>
    <xf numFmtId="166" fontId="51" fillId="0" borderId="44" xfId="0" applyNumberFormat="1" applyFont="1" applyBorder="1" applyAlignment="1">
      <alignment horizontal="right"/>
    </xf>
    <xf numFmtId="166" fontId="50" fillId="0" borderId="44" xfId="0" applyNumberFormat="1" applyFont="1" applyBorder="1" applyAlignment="1">
      <alignment horizontal="right"/>
    </xf>
    <xf numFmtId="166" fontId="87" fillId="0" borderId="43" xfId="0" applyNumberFormat="1" applyFont="1" applyBorder="1" applyAlignment="1">
      <alignment horizontal="right"/>
    </xf>
    <xf numFmtId="166" fontId="51" fillId="0" borderId="9" xfId="0" applyNumberFormat="1" applyFont="1" applyBorder="1" applyAlignment="1">
      <alignment horizontal="right"/>
    </xf>
    <xf numFmtId="1" fontId="51" fillId="6" borderId="69" xfId="5" applyNumberFormat="1" applyFont="1" applyFill="1" applyBorder="1" applyAlignment="1">
      <alignment horizontal="right"/>
    </xf>
    <xf numFmtId="1" fontId="51" fillId="6" borderId="68" xfId="5" applyNumberFormat="1" applyFont="1" applyFill="1" applyBorder="1" applyAlignment="1">
      <alignment horizontal="right"/>
    </xf>
    <xf numFmtId="1" fontId="51" fillId="6" borderId="9" xfId="5" applyNumberFormat="1" applyFont="1" applyFill="1" applyBorder="1" applyAlignment="1">
      <alignment horizontal="right"/>
    </xf>
    <xf numFmtId="1" fontId="51" fillId="6" borderId="4" xfId="5" applyNumberFormat="1" applyFont="1" applyFill="1" applyBorder="1" applyAlignment="1">
      <alignment horizontal="right"/>
    </xf>
    <xf numFmtId="10" fontId="51" fillId="0" borderId="12" xfId="5" applyNumberFormat="1" applyFont="1" applyBorder="1" applyAlignment="1">
      <alignment horizontal="right"/>
    </xf>
    <xf numFmtId="0" fontId="0" fillId="4" borderId="5" xfId="0" applyFill="1" applyBorder="1"/>
    <xf numFmtId="0" fontId="50" fillId="4" borderId="5" xfId="0" applyFont="1" applyFill="1" applyBorder="1" applyAlignment="1">
      <alignment wrapText="1"/>
    </xf>
    <xf numFmtId="165" fontId="50" fillId="4" borderId="5" xfId="0" applyNumberFormat="1" applyFont="1" applyFill="1" applyBorder="1"/>
    <xf numFmtId="165" fontId="50" fillId="4" borderId="60" xfId="0" applyNumberFormat="1" applyFont="1" applyFill="1" applyBorder="1"/>
    <xf numFmtId="10" fontId="51" fillId="3" borderId="18" xfId="0" applyNumberFormat="1" applyFont="1" applyFill="1" applyBorder="1" applyAlignment="1">
      <alignment horizontal="right"/>
    </xf>
    <xf numFmtId="166" fontId="51" fillId="0" borderId="18" xfId="0" applyNumberFormat="1" applyFont="1" applyFill="1" applyBorder="1" applyAlignment="1">
      <alignment horizontal="right"/>
    </xf>
    <xf numFmtId="165" fontId="51" fillId="4" borderId="9" xfId="0" applyNumberFormat="1" applyFont="1" applyFill="1" applyBorder="1"/>
    <xf numFmtId="0" fontId="50" fillId="4" borderId="11" xfId="0" applyFont="1" applyFill="1" applyBorder="1"/>
    <xf numFmtId="165" fontId="50" fillId="4" borderId="12" xfId="0" applyNumberFormat="1" applyFont="1" applyFill="1" applyBorder="1"/>
    <xf numFmtId="10" fontId="51" fillId="3" borderId="33" xfId="0" applyNumberFormat="1" applyFont="1" applyFill="1" applyBorder="1" applyAlignment="1">
      <alignment horizontal="right"/>
    </xf>
    <xf numFmtId="166" fontId="51" fillId="0" borderId="33" xfId="0" applyNumberFormat="1" applyFont="1" applyFill="1" applyBorder="1" applyAlignment="1">
      <alignment horizontal="right"/>
    </xf>
    <xf numFmtId="166" fontId="51" fillId="0" borderId="46" xfId="0" applyNumberFormat="1" applyFont="1" applyBorder="1" applyAlignment="1">
      <alignment horizontal="right"/>
    </xf>
    <xf numFmtId="1" fontId="51" fillId="4" borderId="78" xfId="0" applyNumberFormat="1" applyFont="1" applyFill="1" applyBorder="1"/>
    <xf numFmtId="1" fontId="51" fillId="4" borderId="27" xfId="0" applyNumberFormat="1" applyFont="1" applyFill="1" applyBorder="1"/>
    <xf numFmtId="166" fontId="51" fillId="3" borderId="46" xfId="0" applyNumberFormat="1" applyFont="1" applyFill="1" applyBorder="1" applyAlignment="1">
      <alignment horizontal="right"/>
    </xf>
    <xf numFmtId="166" fontId="51" fillId="3" borderId="24" xfId="0" applyNumberFormat="1" applyFont="1" applyFill="1" applyBorder="1" applyAlignment="1">
      <alignment horizontal="right"/>
    </xf>
    <xf numFmtId="10" fontId="51" fillId="3" borderId="78" xfId="0" applyNumberFormat="1" applyFont="1" applyFill="1" applyBorder="1" applyAlignment="1">
      <alignment horizontal="right"/>
    </xf>
    <xf numFmtId="166" fontId="50" fillId="0" borderId="44" xfId="5" applyNumberFormat="1" applyFont="1" applyBorder="1" applyAlignment="1">
      <alignment horizontal="right"/>
    </xf>
    <xf numFmtId="166" fontId="51" fillId="3" borderId="78" xfId="0" applyNumberFormat="1" applyFont="1" applyFill="1" applyBorder="1" applyAlignment="1">
      <alignment horizontal="right"/>
    </xf>
    <xf numFmtId="166" fontId="50" fillId="0" borderId="44" xfId="0" applyNumberFormat="1" applyFont="1" applyBorder="1"/>
    <xf numFmtId="0" fontId="87" fillId="0" borderId="44" xfId="0" applyFont="1" applyBorder="1"/>
    <xf numFmtId="164" fontId="51" fillId="0" borderId="79" xfId="5" applyNumberFormat="1" applyFont="1" applyFill="1" applyBorder="1" applyAlignment="1">
      <alignment horizontal="center"/>
    </xf>
    <xf numFmtId="1" fontId="50" fillId="4" borderId="79" xfId="5" applyNumberFormat="1" applyFont="1" applyFill="1" applyBorder="1" applyAlignment="1">
      <alignment horizontal="right"/>
    </xf>
    <xf numFmtId="1" fontId="50" fillId="4" borderId="56" xfId="5" applyNumberFormat="1" applyFont="1" applyFill="1" applyBorder="1" applyAlignment="1">
      <alignment horizontal="right"/>
    </xf>
    <xf numFmtId="1" fontId="50" fillId="4" borderId="60" xfId="5" applyNumberFormat="1" applyFont="1" applyFill="1" applyBorder="1" applyAlignment="1">
      <alignment horizontal="right"/>
    </xf>
    <xf numFmtId="1" fontId="50" fillId="4" borderId="61" xfId="5" applyNumberFormat="1" applyFont="1" applyFill="1" applyBorder="1" applyAlignment="1">
      <alignment horizontal="right"/>
    </xf>
    <xf numFmtId="1" fontId="50" fillId="4" borderId="21" xfId="5" applyNumberFormat="1" applyFont="1" applyFill="1" applyBorder="1" applyAlignment="1">
      <alignment horizontal="right"/>
    </xf>
    <xf numFmtId="1" fontId="50" fillId="4" borderId="62" xfId="5" applyNumberFormat="1" applyFont="1" applyFill="1" applyBorder="1" applyAlignment="1">
      <alignment horizontal="right"/>
    </xf>
    <xf numFmtId="1" fontId="50" fillId="6" borderId="69" xfId="5" applyNumberFormat="1" applyFont="1" applyFill="1" applyBorder="1" applyAlignment="1">
      <alignment horizontal="right"/>
    </xf>
    <xf numFmtId="1" fontId="51" fillId="6" borderId="79" xfId="5" applyNumberFormat="1" applyFont="1" applyFill="1" applyBorder="1" applyAlignment="1">
      <alignment horizontal="right"/>
    </xf>
    <xf numFmtId="1" fontId="51" fillId="6" borderId="62" xfId="5" applyNumberFormat="1" applyFont="1" applyFill="1" applyBorder="1" applyAlignment="1">
      <alignment horizontal="right"/>
    </xf>
    <xf numFmtId="10" fontId="51" fillId="0" borderId="56" xfId="5" applyNumberFormat="1" applyFont="1" applyBorder="1" applyAlignment="1">
      <alignment horizontal="right"/>
    </xf>
    <xf numFmtId="1" fontId="50" fillId="3" borderId="21" xfId="5" applyNumberFormat="1" applyFont="1" applyFill="1" applyBorder="1" applyAlignment="1">
      <alignment horizontal="right"/>
    </xf>
    <xf numFmtId="10" fontId="51" fillId="3" borderId="21" xfId="0" applyNumberFormat="1" applyFont="1" applyFill="1" applyBorder="1" applyAlignment="1">
      <alignment horizontal="right"/>
    </xf>
    <xf numFmtId="166" fontId="51" fillId="0" borderId="21" xfId="0" applyNumberFormat="1" applyFont="1" applyFill="1" applyBorder="1" applyAlignment="1">
      <alignment horizontal="right"/>
    </xf>
    <xf numFmtId="165" fontId="50" fillId="4" borderId="56" xfId="0" applyNumberFormat="1" applyFont="1" applyFill="1" applyBorder="1"/>
    <xf numFmtId="0" fontId="50" fillId="0" borderId="44" xfId="0" applyFont="1" applyBorder="1" applyAlignment="1"/>
    <xf numFmtId="165" fontId="51" fillId="0" borderId="44" xfId="0" applyNumberFormat="1" applyFont="1" applyBorder="1"/>
    <xf numFmtId="165" fontId="50" fillId="0" borderId="44" xfId="0" applyNumberFormat="1" applyFont="1" applyBorder="1"/>
    <xf numFmtId="166" fontId="7" fillId="0" borderId="79" xfId="0" applyNumberFormat="1" applyFont="1" applyBorder="1" applyAlignment="1">
      <alignment horizontal="left"/>
    </xf>
    <xf numFmtId="166" fontId="8" fillId="0" borderId="60" xfId="0" applyNumberFormat="1" applyFont="1" applyBorder="1" applyAlignment="1">
      <alignment horizontal="right"/>
    </xf>
    <xf numFmtId="166" fontId="8" fillId="0" borderId="60" xfId="0" applyNumberFormat="1" applyFont="1" applyBorder="1" applyAlignment="1"/>
    <xf numFmtId="166" fontId="8" fillId="0" borderId="7" xfId="0" applyNumberFormat="1" applyFont="1" applyBorder="1" applyAlignment="1"/>
    <xf numFmtId="166" fontId="7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/>
    <xf numFmtId="166" fontId="7" fillId="0" borderId="0" xfId="0" applyNumberFormat="1" applyFont="1" applyBorder="1" applyAlignment="1">
      <alignment horizontal="left"/>
    </xf>
    <xf numFmtId="166" fontId="8" fillId="0" borderId="44" xfId="0" applyNumberFormat="1" applyFont="1" applyBorder="1" applyAlignment="1">
      <alignment horizontal="right"/>
    </xf>
    <xf numFmtId="10" fontId="7" fillId="0" borderId="0" xfId="1" applyNumberFormat="1" applyFont="1" applyBorder="1" applyAlignment="1"/>
    <xf numFmtId="0" fontId="0" fillId="0" borderId="44" xfId="0" applyBorder="1" applyAlignment="1"/>
    <xf numFmtId="166" fontId="9" fillId="0" borderId="44" xfId="0" applyNumberFormat="1" applyFont="1" applyBorder="1" applyAlignment="1"/>
    <xf numFmtId="166" fontId="9" fillId="0" borderId="0" xfId="0" applyNumberFormat="1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/>
    </xf>
    <xf numFmtId="166" fontId="41" fillId="0" borderId="73" xfId="5" applyNumberFormat="1" applyFont="1" applyFill="1" applyBorder="1" applyAlignment="1">
      <alignment horizontal="right" vertical="center"/>
    </xf>
    <xf numFmtId="0" fontId="0" fillId="0" borderId="34" xfId="0" applyBorder="1"/>
    <xf numFmtId="49" fontId="43" fillId="0" borderId="8" xfId="0" applyNumberFormat="1" applyFont="1" applyBorder="1" applyAlignment="1">
      <alignment horizontal="left" wrapText="1"/>
    </xf>
    <xf numFmtId="0" fontId="43" fillId="0" borderId="9" xfId="0" applyFont="1" applyBorder="1" applyAlignment="1"/>
    <xf numFmtId="49" fontId="43" fillId="0" borderId="8" xfId="0" applyNumberFormat="1" applyFont="1" applyBorder="1" applyAlignment="1">
      <alignment horizontal="center" wrapText="1"/>
    </xf>
    <xf numFmtId="166" fontId="43" fillId="0" borderId="9" xfId="5" applyNumberFormat="1" applyFont="1" applyBorder="1" applyAlignment="1">
      <alignment horizontal="right" vertical="center" wrapText="1"/>
    </xf>
    <xf numFmtId="166" fontId="41" fillId="0" borderId="9" xfId="5" applyNumberFormat="1" applyFont="1" applyBorder="1" applyAlignment="1">
      <alignment horizontal="right" vertical="center" wrapText="1"/>
    </xf>
    <xf numFmtId="166" fontId="41" fillId="0" borderId="10" xfId="5" applyNumberFormat="1" applyFont="1" applyBorder="1" applyAlignment="1">
      <alignment horizontal="right" vertical="center" wrapText="1"/>
    </xf>
    <xf numFmtId="49" fontId="43" fillId="0" borderId="8" xfId="0" applyNumberFormat="1" applyFont="1" applyBorder="1" applyAlignment="1">
      <alignment horizontal="center"/>
    </xf>
    <xf numFmtId="0" fontId="43" fillId="0" borderId="9" xfId="0" applyFont="1" applyBorder="1" applyAlignment="1">
      <alignment wrapText="1"/>
    </xf>
    <xf numFmtId="49" fontId="40" fillId="0" borderId="8" xfId="0" applyNumberFormat="1" applyFont="1" applyBorder="1" applyAlignment="1">
      <alignment horizontal="center"/>
    </xf>
    <xf numFmtId="49" fontId="37" fillId="0" borderId="9" xfId="0" applyNumberFormat="1" applyFont="1" applyBorder="1" applyAlignment="1">
      <alignment horizontal="center" vertical="top"/>
    </xf>
    <xf numFmtId="166" fontId="7" fillId="0" borderId="9" xfId="0" applyNumberFormat="1" applyFont="1" applyBorder="1"/>
    <xf numFmtId="166" fontId="7" fillId="0" borderId="79" xfId="0" applyNumberFormat="1" applyFont="1" applyBorder="1"/>
    <xf numFmtId="49" fontId="40" fillId="0" borderId="11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horizontal="left" wrapText="1"/>
    </xf>
    <xf numFmtId="49" fontId="43" fillId="0" borderId="11" xfId="0" applyNumberFormat="1" applyFont="1" applyBorder="1" applyAlignment="1">
      <alignment horizontal="center" wrapText="1"/>
    </xf>
    <xf numFmtId="166" fontId="43" fillId="0" borderId="12" xfId="5" applyNumberFormat="1" applyFont="1" applyBorder="1" applyAlignment="1">
      <alignment horizontal="right" vertical="center" wrapText="1"/>
    </xf>
    <xf numFmtId="166" fontId="41" fillId="0" borderId="12" xfId="5" applyNumberFormat="1" applyFont="1" applyBorder="1" applyAlignment="1">
      <alignment horizontal="right" vertical="center" wrapText="1"/>
    </xf>
    <xf numFmtId="166" fontId="41" fillId="0" borderId="13" xfId="5" applyNumberFormat="1" applyFont="1" applyBorder="1" applyAlignment="1">
      <alignment horizontal="right" vertical="center" wrapText="1"/>
    </xf>
    <xf numFmtId="166" fontId="7" fillId="0" borderId="12" xfId="0" applyNumberFormat="1" applyFont="1" applyBorder="1"/>
    <xf numFmtId="166" fontId="7" fillId="0" borderId="56" xfId="0" applyNumberFormat="1" applyFont="1" applyBorder="1" applyAlignment="1">
      <alignment horizontal="center" vertical="center"/>
    </xf>
    <xf numFmtId="164" fontId="41" fillId="0" borderId="46" xfId="5" applyNumberFormat="1" applyFont="1" applyFill="1" applyBorder="1" applyAlignment="1">
      <alignment horizontal="center"/>
    </xf>
    <xf numFmtId="166" fontId="41" fillId="0" borderId="24" xfId="5" applyNumberFormat="1" applyFont="1" applyFill="1" applyBorder="1" applyAlignment="1">
      <alignment horizontal="right" vertical="center"/>
    </xf>
    <xf numFmtId="166" fontId="41" fillId="0" borderId="78" xfId="5" applyNumberFormat="1" applyFont="1" applyFill="1" applyBorder="1" applyAlignment="1">
      <alignment horizontal="right" vertical="center"/>
    </xf>
    <xf numFmtId="166" fontId="41" fillId="0" borderId="46" xfId="5" applyNumberFormat="1" applyFont="1" applyFill="1" applyBorder="1" applyAlignment="1">
      <alignment horizontal="right" vertical="center"/>
    </xf>
    <xf numFmtId="166" fontId="41" fillId="0" borderId="27" xfId="5" applyNumberFormat="1" applyFont="1" applyFill="1" applyBorder="1" applyAlignment="1">
      <alignment horizontal="right" vertical="center"/>
    </xf>
    <xf numFmtId="166" fontId="41" fillId="0" borderId="48" xfId="5" applyNumberFormat="1" applyFont="1" applyFill="1" applyBorder="1" applyAlignment="1">
      <alignment horizontal="right" vertical="center"/>
    </xf>
    <xf numFmtId="166" fontId="7" fillId="0" borderId="78" xfId="0" applyNumberFormat="1" applyFont="1" applyBorder="1"/>
    <xf numFmtId="166" fontId="7" fillId="0" borderId="46" xfId="0" applyNumberFormat="1" applyFont="1" applyBorder="1"/>
    <xf numFmtId="166" fontId="7" fillId="0" borderId="24" xfId="0" applyNumberFormat="1" applyFont="1" applyBorder="1"/>
    <xf numFmtId="10" fontId="1" fillId="0" borderId="56" xfId="0" applyNumberFormat="1" applyFont="1" applyBorder="1"/>
    <xf numFmtId="0" fontId="43" fillId="0" borderId="44" xfId="0" applyFont="1" applyBorder="1"/>
    <xf numFmtId="49" fontId="67" fillId="0" borderId="54" xfId="0" applyNumberFormat="1" applyFont="1" applyBorder="1" applyAlignment="1">
      <alignment horizontal="left" wrapText="1"/>
    </xf>
    <xf numFmtId="0" fontId="67" fillId="0" borderId="43" xfId="0" applyFont="1" applyBorder="1" applyAlignment="1"/>
    <xf numFmtId="164" fontId="67" fillId="0" borderId="57" xfId="5" applyNumberFormat="1" applyFont="1" applyBorder="1" applyAlignment="1">
      <alignment horizontal="center" textRotation="90" wrapText="1"/>
    </xf>
    <xf numFmtId="164" fontId="67" fillId="0" borderId="43" xfId="5" applyNumberFormat="1" applyFont="1" applyBorder="1" applyAlignment="1">
      <alignment horizontal="center" textRotation="90" wrapText="1"/>
    </xf>
    <xf numFmtId="0" fontId="50" fillId="0" borderId="5" xfId="0" applyFont="1" applyBorder="1" applyAlignment="1"/>
    <xf numFmtId="49" fontId="0" fillId="0" borderId="8" xfId="0" applyNumberFormat="1" applyBorder="1"/>
    <xf numFmtId="0" fontId="66" fillId="0" borderId="9" xfId="0" applyFont="1" applyBorder="1"/>
    <xf numFmtId="0" fontId="51" fillId="0" borderId="4" xfId="0" applyFont="1" applyBorder="1" applyAlignment="1">
      <alignment wrapText="1"/>
    </xf>
    <xf numFmtId="166" fontId="50" fillId="0" borderId="4" xfId="5" quotePrefix="1" applyNumberFormat="1" applyFont="1" applyBorder="1" applyAlignment="1">
      <alignment horizontal="right"/>
    </xf>
    <xf numFmtId="166" fontId="50" fillId="0" borderId="4" xfId="5" applyNumberFormat="1" applyFont="1" applyFill="1" applyBorder="1" applyAlignment="1">
      <alignment horizontal="right"/>
    </xf>
    <xf numFmtId="166" fontId="50" fillId="0" borderId="5" xfId="5" quotePrefix="1" applyNumberFormat="1" applyFont="1" applyBorder="1" applyAlignment="1">
      <alignment horizontal="right"/>
    </xf>
    <xf numFmtId="166" fontId="50" fillId="0" borderId="12" xfId="5" quotePrefix="1" applyNumberFormat="1" applyFont="1" applyBorder="1" applyAlignment="1">
      <alignment horizontal="right"/>
    </xf>
    <xf numFmtId="164" fontId="67" fillId="0" borderId="61" xfId="5" applyNumberFormat="1" applyFont="1" applyFill="1" applyBorder="1" applyAlignment="1">
      <alignment horizontal="center"/>
    </xf>
    <xf numFmtId="0" fontId="66" fillId="0" borderId="79" xfId="0" applyFont="1" applyBorder="1"/>
    <xf numFmtId="166" fontId="51" fillId="4" borderId="79" xfId="0" applyNumberFormat="1" applyFont="1" applyFill="1" applyBorder="1" applyAlignment="1">
      <alignment horizontal="right"/>
    </xf>
    <xf numFmtId="166" fontId="51" fillId="4" borderId="60" xfId="0" applyNumberFormat="1" applyFont="1" applyFill="1" applyBorder="1" applyAlignment="1">
      <alignment horizontal="right"/>
    </xf>
    <xf numFmtId="10" fontId="49" fillId="5" borderId="56" xfId="0" applyNumberFormat="1" applyFont="1" applyFill="1" applyBorder="1"/>
    <xf numFmtId="10" fontId="66" fillId="4" borderId="56" xfId="0" applyNumberFormat="1" applyFont="1" applyFill="1" applyBorder="1"/>
    <xf numFmtId="0" fontId="66" fillId="0" borderId="44" xfId="0" applyFont="1" applyBorder="1"/>
    <xf numFmtId="0" fontId="66" fillId="0" borderId="44" xfId="0" applyFont="1" applyBorder="1" applyAlignment="1"/>
    <xf numFmtId="166" fontId="66" fillId="0" borderId="0" xfId="0" applyNumberFormat="1" applyFont="1" applyBorder="1"/>
    <xf numFmtId="165" fontId="66" fillId="0" borderId="34" xfId="0" applyNumberFormat="1" applyFont="1" applyBorder="1"/>
    <xf numFmtId="166" fontId="41" fillId="0" borderId="10" xfId="5" applyNumberFormat="1" applyFont="1" applyFill="1" applyBorder="1" applyAlignment="1">
      <alignment horizontal="right" vertical="center"/>
    </xf>
    <xf numFmtId="1" fontId="43" fillId="4" borderId="76" xfId="5" applyNumberFormat="1" applyFont="1" applyFill="1" applyBorder="1" applyAlignment="1">
      <alignment horizontal="right"/>
    </xf>
    <xf numFmtId="1" fontId="43" fillId="4" borderId="41" xfId="5" applyNumberFormat="1" applyFont="1" applyFill="1" applyBorder="1" applyAlignment="1">
      <alignment horizontal="right"/>
    </xf>
    <xf numFmtId="1" fontId="43" fillId="4" borderId="51" xfId="5" applyNumberFormat="1" applyFont="1" applyFill="1" applyBorder="1" applyAlignment="1">
      <alignment horizontal="right"/>
    </xf>
    <xf numFmtId="1" fontId="43" fillId="4" borderId="55" xfId="5" applyNumberFormat="1" applyFont="1" applyFill="1" applyBorder="1" applyAlignment="1">
      <alignment horizontal="right"/>
    </xf>
    <xf numFmtId="1" fontId="43" fillId="0" borderId="10" xfId="5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0" fillId="0" borderId="5" xfId="0" applyFont="1" applyBorder="1" applyAlignment="1">
      <alignment horizontal="left"/>
    </xf>
    <xf numFmtId="1" fontId="7" fillId="3" borderId="12" xfId="0" applyNumberFormat="1" applyFont="1" applyFill="1" applyBorder="1" applyAlignment="1">
      <alignment horizontal="right"/>
    </xf>
    <xf numFmtId="1" fontId="7" fillId="3" borderId="56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right"/>
    </xf>
    <xf numFmtId="0" fontId="7" fillId="3" borderId="52" xfId="0" applyFont="1" applyFill="1" applyBorder="1" applyAlignment="1">
      <alignment wrapText="1"/>
    </xf>
    <xf numFmtId="0" fontId="40" fillId="3" borderId="52" xfId="0" applyFont="1" applyFill="1" applyBorder="1" applyAlignment="1">
      <alignment horizontal="left"/>
    </xf>
    <xf numFmtId="1" fontId="7" fillId="3" borderId="52" xfId="0" applyNumberFormat="1" applyFont="1" applyFill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0" fontId="7" fillId="3" borderId="5" xfId="0" applyFont="1" applyFill="1" applyBorder="1"/>
    <xf numFmtId="0" fontId="49" fillId="3" borderId="5" xfId="0" applyFont="1" applyFill="1" applyBorder="1" applyAlignment="1">
      <alignment horizontal="left"/>
    </xf>
    <xf numFmtId="165" fontId="7" fillId="3" borderId="5" xfId="0" applyNumberFormat="1" applyFont="1" applyFill="1" applyBorder="1"/>
    <xf numFmtId="165" fontId="7" fillId="3" borderId="60" xfId="0" applyNumberFormat="1" applyFont="1" applyFill="1" applyBorder="1"/>
    <xf numFmtId="165" fontId="7" fillId="3" borderId="15" xfId="0" applyNumberFormat="1" applyFont="1" applyFill="1" applyBorder="1"/>
    <xf numFmtId="1" fontId="7" fillId="3" borderId="64" xfId="0" applyNumberFormat="1" applyFont="1" applyFill="1" applyBorder="1" applyAlignment="1">
      <alignment horizontal="right"/>
    </xf>
    <xf numFmtId="1" fontId="7" fillId="3" borderId="22" xfId="0" applyNumberFormat="1" applyFont="1" applyFill="1" applyBorder="1" applyAlignment="1">
      <alignment horizontal="right"/>
    </xf>
    <xf numFmtId="165" fontId="7" fillId="3" borderId="12" xfId="0" applyNumberFormat="1" applyFont="1" applyFill="1" applyBorder="1"/>
    <xf numFmtId="165" fontId="7" fillId="3" borderId="56" xfId="0" applyNumberFormat="1" applyFont="1" applyFill="1" applyBorder="1"/>
    <xf numFmtId="165" fontId="7" fillId="3" borderId="13" xfId="0" applyNumberFormat="1" applyFont="1" applyFill="1" applyBorder="1"/>
    <xf numFmtId="49" fontId="7" fillId="3" borderId="27" xfId="0" applyNumberFormat="1" applyFont="1" applyFill="1" applyBorder="1" applyAlignment="1">
      <alignment wrapText="1"/>
    </xf>
    <xf numFmtId="49" fontId="7" fillId="3" borderId="28" xfId="0" applyNumberFormat="1" applyFont="1" applyFill="1" applyBorder="1" applyAlignment="1">
      <alignment wrapText="1"/>
    </xf>
    <xf numFmtId="0" fontId="40" fillId="3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49" fontId="0" fillId="3" borderId="5" xfId="0" applyNumberFormat="1" applyFill="1" applyBorder="1"/>
    <xf numFmtId="1" fontId="40" fillId="3" borderId="40" xfId="5" applyNumberFormat="1" applyFont="1" applyFill="1" applyBorder="1" applyAlignment="1">
      <alignment horizontal="right"/>
    </xf>
    <xf numFmtId="49" fontId="7" fillId="3" borderId="31" xfId="0" applyNumberFormat="1" applyFont="1" applyFill="1" applyBorder="1" applyAlignment="1">
      <alignment wrapText="1"/>
    </xf>
    <xf numFmtId="1" fontId="7" fillId="3" borderId="40" xfId="0" applyNumberFormat="1" applyFont="1" applyFill="1" applyBorder="1" applyAlignment="1">
      <alignment horizontal="right"/>
    </xf>
    <xf numFmtId="49" fontId="43" fillId="0" borderId="17" xfId="0" applyNumberFormat="1" applyFont="1" applyBorder="1" applyAlignment="1">
      <alignment horizontal="center" vertical="center" wrapText="1"/>
    </xf>
    <xf numFmtId="1" fontId="43" fillId="0" borderId="52" xfId="5" applyNumberFormat="1" applyFont="1" applyBorder="1" applyAlignment="1">
      <alignment horizontal="right" vertical="center" wrapText="1"/>
    </xf>
    <xf numFmtId="1" fontId="43" fillId="3" borderId="40" xfId="5" applyNumberFormat="1" applyFont="1" applyFill="1" applyBorder="1" applyAlignment="1">
      <alignment horizontal="right" vertical="center"/>
    </xf>
    <xf numFmtId="49" fontId="7" fillId="3" borderId="58" xfId="0" applyNumberFormat="1" applyFont="1" applyFill="1" applyBorder="1" applyAlignment="1">
      <alignment wrapText="1"/>
    </xf>
    <xf numFmtId="0" fontId="40" fillId="3" borderId="26" xfId="0" applyFont="1" applyFill="1" applyBorder="1" applyAlignment="1">
      <alignment wrapText="1"/>
    </xf>
    <xf numFmtId="1" fontId="7" fillId="3" borderId="36" xfId="0" applyNumberFormat="1" applyFont="1" applyFill="1" applyBorder="1" applyAlignment="1">
      <alignment horizontal="right"/>
    </xf>
    <xf numFmtId="1" fontId="7" fillId="3" borderId="45" xfId="0" applyNumberFormat="1" applyFont="1" applyFill="1" applyBorder="1" applyAlignment="1">
      <alignment horizontal="right"/>
    </xf>
    <xf numFmtId="1" fontId="40" fillId="0" borderId="40" xfId="5" applyNumberFormat="1" applyFont="1" applyBorder="1" applyAlignment="1">
      <alignment horizontal="right"/>
    </xf>
    <xf numFmtId="49" fontId="43" fillId="0" borderId="48" xfId="0" applyNumberFormat="1" applyFont="1" applyBorder="1" applyAlignment="1">
      <alignment horizontal="center" vertical="center"/>
    </xf>
    <xf numFmtId="1" fontId="41" fillId="0" borderId="52" xfId="5" applyNumberFormat="1" applyFont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/>
    </xf>
    <xf numFmtId="49" fontId="40" fillId="0" borderId="27" xfId="0" applyNumberFormat="1" applyFont="1" applyBorder="1" applyAlignment="1">
      <alignment horizontal="center"/>
    </xf>
    <xf numFmtId="1" fontId="40" fillId="0" borderId="80" xfId="5" applyNumberFormat="1" applyFont="1" applyBorder="1" applyAlignment="1">
      <alignment horizontal="right"/>
    </xf>
    <xf numFmtId="0" fontId="43" fillId="0" borderId="40" xfId="5" applyNumberFormat="1" applyFont="1" applyFill="1" applyBorder="1" applyAlignment="1">
      <alignment horizontal="right" vertical="center"/>
    </xf>
    <xf numFmtId="49" fontId="7" fillId="3" borderId="52" xfId="0" applyNumberFormat="1" applyFont="1" applyFill="1" applyBorder="1" applyAlignment="1">
      <alignment wrapText="1"/>
    </xf>
    <xf numFmtId="0" fontId="43" fillId="3" borderId="52" xfId="0" applyFont="1" applyFill="1" applyBorder="1" applyAlignment="1">
      <alignment horizontal="left" vertical="center"/>
    </xf>
    <xf numFmtId="0" fontId="43" fillId="0" borderId="66" xfId="0" applyFont="1" applyBorder="1" applyAlignment="1">
      <alignment horizontal="left" vertical="center"/>
    </xf>
    <xf numFmtId="0" fontId="43" fillId="0" borderId="52" xfId="5" applyNumberFormat="1" applyFont="1" applyBorder="1" applyAlignment="1">
      <alignment horizontal="right" vertical="center" wrapText="1"/>
    </xf>
    <xf numFmtId="0" fontId="49" fillId="3" borderId="40" xfId="5" applyNumberFormat="1" applyFont="1" applyFill="1" applyBorder="1" applyAlignment="1">
      <alignment horizontal="right" vertical="center"/>
    </xf>
    <xf numFmtId="0" fontId="43" fillId="0" borderId="63" xfId="0" applyFont="1" applyBorder="1"/>
    <xf numFmtId="0" fontId="1" fillId="0" borderId="58" xfId="0" applyFont="1" applyBorder="1" applyAlignment="1">
      <alignment horizontal="center"/>
    </xf>
    <xf numFmtId="0" fontId="57" fillId="0" borderId="36" xfId="0" applyNumberFormat="1" applyFont="1" applyBorder="1" applyAlignment="1">
      <alignment horizontal="left"/>
    </xf>
    <xf numFmtId="166" fontId="57" fillId="0" borderId="36" xfId="0" applyNumberFormat="1" applyFont="1" applyBorder="1" applyAlignment="1">
      <alignment horizontal="right"/>
    </xf>
    <xf numFmtId="166" fontId="52" fillId="0" borderId="21" xfId="0" applyNumberFormat="1" applyFont="1" applyBorder="1" applyAlignment="1">
      <alignment horizontal="left"/>
    </xf>
    <xf numFmtId="10" fontId="90" fillId="0" borderId="22" xfId="0" applyNumberFormat="1" applyFont="1" applyBorder="1"/>
    <xf numFmtId="0" fontId="1" fillId="0" borderId="37" xfId="0" applyFont="1" applyBorder="1"/>
    <xf numFmtId="0" fontId="57" fillId="0" borderId="0" xfId="0" applyFont="1" applyBorder="1" applyAlignment="1">
      <alignment horizontal="right"/>
    </xf>
    <xf numFmtId="0" fontId="57" fillId="0" borderId="0" xfId="0" applyFont="1" applyBorder="1"/>
    <xf numFmtId="0" fontId="57" fillId="0" borderId="36" xfId="0" applyFont="1" applyBorder="1"/>
    <xf numFmtId="166" fontId="56" fillId="0" borderId="30" xfId="0" applyNumberFormat="1" applyFont="1" applyFill="1" applyBorder="1" applyAlignment="1">
      <alignment horizontal="left"/>
    </xf>
    <xf numFmtId="166" fontId="52" fillId="0" borderId="30" xfId="0" applyNumberFormat="1" applyFont="1" applyFill="1" applyBorder="1" applyAlignment="1">
      <alignment horizontal="center"/>
    </xf>
    <xf numFmtId="166" fontId="52" fillId="0" borderId="36" xfId="0" applyNumberFormat="1" applyFont="1" applyBorder="1" applyAlignment="1">
      <alignment horizontal="center"/>
    </xf>
    <xf numFmtId="166" fontId="92" fillId="0" borderId="36" xfId="0" applyNumberFormat="1" applyFont="1" applyBorder="1" applyAlignment="1">
      <alignment horizontal="center"/>
    </xf>
    <xf numFmtId="166" fontId="85" fillId="0" borderId="0" xfId="0" applyNumberFormat="1" applyFont="1" applyBorder="1"/>
    <xf numFmtId="6" fontId="85" fillId="0" borderId="71" xfId="0" applyNumberFormat="1" applyFont="1" applyBorder="1"/>
    <xf numFmtId="166" fontId="58" fillId="0" borderId="13" xfId="0" applyNumberFormat="1" applyFont="1" applyBorder="1"/>
    <xf numFmtId="49" fontId="40" fillId="0" borderId="14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wrapText="1"/>
    </xf>
    <xf numFmtId="166" fontId="40" fillId="0" borderId="15" xfId="5" applyNumberFormat="1" applyFont="1" applyBorder="1" applyAlignment="1">
      <alignment horizontal="right"/>
    </xf>
    <xf numFmtId="166" fontId="41" fillId="0" borderId="77" xfId="5" applyNumberFormat="1" applyFont="1" applyFill="1" applyBorder="1" applyAlignment="1">
      <alignment horizontal="right" vertical="center"/>
    </xf>
    <xf numFmtId="49" fontId="51" fillId="0" borderId="14" xfId="0" applyNumberFormat="1" applyFont="1" applyBorder="1" applyAlignment="1">
      <alignment horizontal="center"/>
    </xf>
    <xf numFmtId="0" fontId="51" fillId="0" borderId="5" xfId="0" applyFont="1" applyBorder="1" applyAlignment="1">
      <alignment wrapText="1"/>
    </xf>
    <xf numFmtId="1" fontId="50" fillId="4" borderId="13" xfId="5" applyNumberFormat="1" applyFont="1" applyFill="1" applyBorder="1" applyAlignment="1">
      <alignment horizontal="right"/>
    </xf>
    <xf numFmtId="166" fontId="8" fillId="0" borderId="8" xfId="0" applyNumberFormat="1" applyFont="1" applyBorder="1" applyAlignment="1"/>
    <xf numFmtId="166" fontId="8" fillId="0" borderId="10" xfId="0" applyNumberFormat="1" applyFont="1" applyBorder="1" applyAlignment="1"/>
    <xf numFmtId="166" fontId="8" fillId="0" borderId="16" xfId="0" applyNumberFormat="1" applyFont="1" applyBorder="1" applyAlignment="1"/>
    <xf numFmtId="166" fontId="8" fillId="0" borderId="23" xfId="0" applyNumberFormat="1" applyFont="1" applyBorder="1" applyAlignment="1"/>
    <xf numFmtId="165" fontId="2" fillId="0" borderId="0" xfId="0" applyNumberFormat="1" applyFont="1" applyBorder="1" applyAlignment="1"/>
    <xf numFmtId="166" fontId="1" fillId="0" borderId="34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wrapText="1"/>
    </xf>
    <xf numFmtId="166" fontId="8" fillId="0" borderId="63" xfId="0" applyNumberFormat="1" applyFont="1" applyBorder="1" applyAlignment="1">
      <alignment wrapText="1"/>
    </xf>
    <xf numFmtId="166" fontId="0" fillId="0" borderId="29" xfId="0" applyNumberFormat="1" applyBorder="1" applyAlignment="1">
      <alignment wrapText="1"/>
    </xf>
    <xf numFmtId="166" fontId="8" fillId="0" borderId="65" xfId="0" applyNumberFormat="1" applyFont="1" applyBorder="1" applyAlignment="1">
      <alignment wrapText="1"/>
    </xf>
    <xf numFmtId="166" fontId="7" fillId="0" borderId="20" xfId="0" applyNumberFormat="1" applyFont="1" applyBorder="1" applyAlignment="1"/>
    <xf numFmtId="166" fontId="2" fillId="0" borderId="36" xfId="0" applyNumberFormat="1" applyFont="1" applyBorder="1" applyAlignment="1">
      <alignment wrapText="1"/>
    </xf>
    <xf numFmtId="166" fontId="1" fillId="0" borderId="20" xfId="0" applyNumberFormat="1" applyFont="1" applyBorder="1" applyAlignment="1"/>
    <xf numFmtId="166" fontId="1" fillId="0" borderId="36" xfId="0" applyNumberFormat="1" applyFont="1" applyBorder="1" applyAlignment="1">
      <alignment horizontal="left"/>
    </xf>
    <xf numFmtId="166" fontId="93" fillId="0" borderId="0" xfId="0" applyNumberFormat="1" applyFont="1" applyBorder="1" applyAlignment="1">
      <alignment horizontal="left"/>
    </xf>
    <xf numFmtId="166" fontId="51" fillId="4" borderId="77" xfId="5" applyNumberFormat="1" applyFont="1" applyFill="1" applyBorder="1" applyAlignment="1">
      <alignment horizontal="right" vertical="center"/>
    </xf>
    <xf numFmtId="1" fontId="50" fillId="4" borderId="15" xfId="5" applyNumberFormat="1" applyFont="1" applyFill="1" applyBorder="1" applyAlignment="1">
      <alignment horizontal="right"/>
    </xf>
    <xf numFmtId="166" fontId="51" fillId="3" borderId="10" xfId="0" applyNumberFormat="1" applyFont="1" applyFill="1" applyBorder="1" applyAlignment="1">
      <alignment horizontal="right"/>
    </xf>
    <xf numFmtId="166" fontId="49" fillId="5" borderId="78" xfId="5" applyNumberFormat="1" applyFont="1" applyFill="1" applyBorder="1" applyAlignment="1">
      <alignment horizontal="right" vertical="center"/>
    </xf>
    <xf numFmtId="1" fontId="50" fillId="0" borderId="44" xfId="0" applyNumberFormat="1" applyFont="1" applyBorder="1"/>
    <xf numFmtId="0" fontId="50" fillId="0" borderId="12" xfId="5" applyNumberFormat="1" applyFont="1" applyBorder="1" applyAlignment="1">
      <alignment horizontal="center" vertical="center" wrapText="1"/>
    </xf>
    <xf numFmtId="166" fontId="50" fillId="0" borderId="12" xfId="5" applyNumberFormat="1" applyFont="1" applyBorder="1" applyAlignment="1">
      <alignment horizontal="center"/>
    </xf>
    <xf numFmtId="0" fontId="50" fillId="0" borderId="5" xfId="5" applyNumberFormat="1" applyFont="1" applyBorder="1" applyAlignment="1">
      <alignment horizontal="center" vertical="center" wrapText="1"/>
    </xf>
    <xf numFmtId="166" fontId="50" fillId="0" borderId="5" xfId="5" applyNumberFormat="1" applyFont="1" applyBorder="1" applyAlignment="1">
      <alignment horizontal="center"/>
    </xf>
    <xf numFmtId="0" fontId="50" fillId="0" borderId="4" xfId="5" applyNumberFormat="1" applyFont="1" applyBorder="1" applyAlignment="1">
      <alignment horizontal="center" vertical="center" wrapText="1"/>
    </xf>
    <xf numFmtId="166" fontId="50" fillId="0" borderId="4" xfId="5" applyNumberFormat="1" applyFont="1" applyBorder="1" applyAlignment="1">
      <alignment horizontal="center"/>
    </xf>
    <xf numFmtId="1" fontId="29" fillId="0" borderId="13" xfId="2" applyNumberFormat="1" applyFont="1" applyBorder="1"/>
    <xf numFmtId="1" fontId="1" fillId="0" borderId="58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3" fontId="1" fillId="0" borderId="58" xfId="0" applyNumberFormat="1" applyFont="1" applyBorder="1" applyAlignment="1">
      <alignment horizontal="center"/>
    </xf>
    <xf numFmtId="166" fontId="8" fillId="0" borderId="13" xfId="0" applyNumberFormat="1" applyFont="1" applyBorder="1" applyAlignment="1"/>
    <xf numFmtId="166" fontId="2" fillId="0" borderId="11" xfId="0" applyNumberFormat="1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6" fontId="43" fillId="0" borderId="12" xfId="5" applyNumberFormat="1" applyFont="1" applyBorder="1" applyAlignment="1">
      <alignment horizontal="center" vertical="center" wrapText="1"/>
    </xf>
    <xf numFmtId="166" fontId="43" fillId="0" borderId="9" xfId="5" applyNumberFormat="1" applyFont="1" applyBorder="1" applyAlignment="1">
      <alignment horizontal="center" vertical="center" wrapText="1"/>
    </xf>
    <xf numFmtId="166" fontId="50" fillId="0" borderId="12" xfId="5" applyNumberFormat="1" applyFont="1" applyBorder="1" applyAlignment="1"/>
    <xf numFmtId="49" fontId="43" fillId="0" borderId="14" xfId="0" applyNumberFormat="1" applyFont="1" applyBorder="1" applyAlignment="1">
      <alignment horizontal="center" wrapText="1"/>
    </xf>
    <xf numFmtId="166" fontId="43" fillId="0" borderId="5" xfId="5" applyNumberFormat="1" applyFont="1" applyBorder="1" applyAlignment="1">
      <alignment horizontal="right" vertical="center" wrapText="1"/>
    </xf>
    <xf numFmtId="166" fontId="41" fillId="0" borderId="5" xfId="5" applyNumberFormat="1" applyFont="1" applyBorder="1" applyAlignment="1">
      <alignment horizontal="right" vertical="center" wrapText="1"/>
    </xf>
    <xf numFmtId="166" fontId="41" fillId="0" borderId="15" xfId="5" applyNumberFormat="1" applyFont="1" applyBorder="1" applyAlignment="1">
      <alignment horizontal="right" vertical="center" wrapText="1"/>
    </xf>
    <xf numFmtId="166" fontId="43" fillId="0" borderId="5" xfId="5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/>
    </xf>
    <xf numFmtId="166" fontId="49" fillId="0" borderId="5" xfId="0" applyNumberFormat="1" applyFont="1" applyFill="1" applyBorder="1" applyAlignment="1">
      <alignment horizontal="right"/>
    </xf>
    <xf numFmtId="49" fontId="43" fillId="0" borderId="14" xfId="0" applyNumberFormat="1" applyFont="1" applyBorder="1" applyAlignment="1">
      <alignment horizontal="left" wrapText="1"/>
    </xf>
    <xf numFmtId="0" fontId="43" fillId="0" borderId="5" xfId="0" applyFont="1" applyBorder="1" applyAlignment="1"/>
    <xf numFmtId="1" fontId="43" fillId="0" borderId="5" xfId="5" applyNumberFormat="1" applyFont="1" applyBorder="1" applyAlignment="1">
      <alignment horizontal="center" wrapText="1"/>
    </xf>
    <xf numFmtId="1" fontId="43" fillId="0" borderId="15" xfId="5" applyNumberFormat="1" applyFont="1" applyBorder="1" applyAlignment="1">
      <alignment horizontal="center" wrapText="1"/>
    </xf>
    <xf numFmtId="1" fontId="50" fillId="0" borderId="15" xfId="5" applyNumberFormat="1" applyFont="1" applyBorder="1" applyAlignment="1">
      <alignment horizontal="center" wrapText="1"/>
    </xf>
    <xf numFmtId="166" fontId="43" fillId="0" borderId="15" xfId="0" applyNumberFormat="1" applyFont="1" applyBorder="1" applyAlignment="1">
      <alignment horizontal="right"/>
    </xf>
    <xf numFmtId="1" fontId="43" fillId="0" borderId="12" xfId="5" applyNumberFormat="1" applyFont="1" applyBorder="1" applyAlignment="1">
      <alignment horizontal="center" wrapText="1"/>
    </xf>
    <xf numFmtId="1" fontId="43" fillId="0" borderId="13" xfId="5" applyNumberFormat="1" applyFont="1" applyBorder="1" applyAlignment="1">
      <alignment horizontal="center" wrapText="1"/>
    </xf>
    <xf numFmtId="1" fontId="50" fillId="0" borderId="13" xfId="5" applyNumberFormat="1" applyFont="1" applyBorder="1" applyAlignment="1">
      <alignment horizontal="center" wrapText="1"/>
    </xf>
    <xf numFmtId="1" fontId="50" fillId="4" borderId="39" xfId="5" applyNumberFormat="1" applyFont="1" applyFill="1" applyBorder="1" applyAlignment="1">
      <alignment horizontal="right"/>
    </xf>
    <xf numFmtId="1" fontId="43" fillId="4" borderId="77" xfId="5" applyNumberFormat="1" applyFont="1" applyFill="1" applyBorder="1" applyAlignment="1">
      <alignment horizontal="right"/>
    </xf>
    <xf numFmtId="166" fontId="43" fillId="0" borderId="5" xfId="5" quotePrefix="1" applyNumberFormat="1" applyFont="1" applyBorder="1" applyAlignment="1">
      <alignment horizontal="right"/>
    </xf>
    <xf numFmtId="166" fontId="43" fillId="0" borderId="12" xfId="5" quotePrefix="1" applyNumberFormat="1" applyFont="1" applyBorder="1" applyAlignment="1">
      <alignment horizontal="right"/>
    </xf>
    <xf numFmtId="166" fontId="43" fillId="0" borderId="12" xfId="5" applyNumberFormat="1" applyFont="1" applyFill="1" applyBorder="1" applyAlignment="1">
      <alignment horizontal="right"/>
    </xf>
    <xf numFmtId="1" fontId="43" fillId="4" borderId="45" xfId="5" applyNumberFormat="1" applyFont="1" applyFill="1" applyBorder="1" applyAlignment="1">
      <alignment horizontal="right"/>
    </xf>
    <xf numFmtId="0" fontId="49" fillId="0" borderId="5" xfId="0" applyFont="1" applyBorder="1" applyAlignment="1">
      <alignment wrapText="1"/>
    </xf>
    <xf numFmtId="166" fontId="43" fillId="0" borderId="52" xfId="5" applyNumberFormat="1" applyFont="1" applyBorder="1" applyAlignment="1">
      <alignment horizontal="right"/>
    </xf>
    <xf numFmtId="0" fontId="1" fillId="0" borderId="31" xfId="0" applyFont="1" applyBorder="1"/>
    <xf numFmtId="0" fontId="1" fillId="0" borderId="27" xfId="0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6" xfId="0" applyNumberFormat="1" applyFont="1" applyBorder="1"/>
    <xf numFmtId="0" fontId="2" fillId="0" borderId="4" xfId="0" applyFont="1" applyBorder="1"/>
    <xf numFmtId="0" fontId="2" fillId="0" borderId="23" xfId="0" applyFont="1" applyBorder="1"/>
    <xf numFmtId="1" fontId="2" fillId="0" borderId="16" xfId="0" applyNumberFormat="1" applyFont="1" applyBorder="1"/>
    <xf numFmtId="1" fontId="2" fillId="0" borderId="4" xfId="0" applyNumberFormat="1" applyFont="1" applyBorder="1"/>
    <xf numFmtId="1" fontId="2" fillId="0" borderId="23" xfId="0" applyNumberFormat="1" applyFont="1" applyBorder="1"/>
    <xf numFmtId="0" fontId="2" fillId="0" borderId="24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Fill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2" fillId="0" borderId="0" xfId="0" applyFont="1" applyAlignment="1"/>
    <xf numFmtId="0" fontId="7" fillId="0" borderId="6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25" xfId="0" applyBorder="1" applyAlignment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6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49" fontId="51" fillId="4" borderId="8" xfId="0" applyNumberFormat="1" applyFont="1" applyFill="1" applyBorder="1" applyAlignment="1">
      <alignment horizontal="center"/>
    </xf>
    <xf numFmtId="0" fontId="51" fillId="4" borderId="9" xfId="0" applyFont="1" applyFill="1" applyBorder="1" applyAlignment="1"/>
    <xf numFmtId="0" fontId="52" fillId="0" borderId="31" xfId="0" applyFont="1" applyBorder="1" applyAlignment="1">
      <alignment horizontal="center" wrapText="1"/>
    </xf>
    <xf numFmtId="0" fontId="54" fillId="0" borderId="30" xfId="0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49" fontId="51" fillId="3" borderId="33" xfId="0" applyNumberFormat="1" applyFont="1" applyFill="1" applyBorder="1" applyAlignment="1">
      <alignment horizontal="center" wrapText="1"/>
    </xf>
    <xf numFmtId="0" fontId="50" fillId="3" borderId="67" xfId="0" applyFont="1" applyFill="1" applyBorder="1" applyAlignment="1">
      <alignment horizontal="center" wrapText="1"/>
    </xf>
    <xf numFmtId="49" fontId="51" fillId="3" borderId="33" xfId="0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1" fillId="3" borderId="59" xfId="0" applyFont="1" applyFill="1" applyBorder="1" applyAlignment="1">
      <alignment wrapText="1"/>
    </xf>
    <xf numFmtId="0" fontId="50" fillId="3" borderId="68" xfId="0" applyFont="1" applyFill="1" applyBorder="1" applyAlignment="1">
      <alignment wrapText="1"/>
    </xf>
    <xf numFmtId="0" fontId="51" fillId="3" borderId="49" xfId="0" applyFont="1" applyFill="1" applyBorder="1" applyAlignment="1">
      <alignment horizontal="center"/>
    </xf>
    <xf numFmtId="0" fontId="51" fillId="3" borderId="57" xfId="0" applyFont="1" applyFill="1" applyBorder="1" applyAlignment="1"/>
    <xf numFmtId="0" fontId="51" fillId="3" borderId="49" xfId="0" applyFont="1" applyFill="1" applyBorder="1" applyAlignment="1">
      <alignment horizontal="center" vertical="center"/>
    </xf>
    <xf numFmtId="0" fontId="51" fillId="3" borderId="57" xfId="0" applyFont="1" applyFill="1" applyBorder="1" applyAlignment="1">
      <alignment horizontal="center" vertical="center"/>
    </xf>
    <xf numFmtId="49" fontId="51" fillId="3" borderId="16" xfId="0" applyNumberFormat="1" applyFont="1" applyFill="1" applyBorder="1" applyAlignment="1">
      <alignment horizontal="center" wrapText="1"/>
    </xf>
    <xf numFmtId="0" fontId="50" fillId="3" borderId="4" xfId="0" applyFont="1" applyFill="1" applyBorder="1" applyAlignment="1">
      <alignment horizontal="center" wrapText="1"/>
    </xf>
    <xf numFmtId="49" fontId="51" fillId="3" borderId="49" xfId="0" applyNumberFormat="1" applyFont="1" applyFill="1" applyBorder="1" applyAlignment="1">
      <alignment horizontal="center"/>
    </xf>
    <xf numFmtId="0" fontId="51" fillId="3" borderId="57" xfId="0" applyFont="1" applyFill="1" applyBorder="1" applyAlignment="1">
      <alignment horizontal="center"/>
    </xf>
    <xf numFmtId="49" fontId="51" fillId="6" borderId="31" xfId="0" applyNumberFormat="1" applyFont="1" applyFill="1" applyBorder="1" applyAlignment="1">
      <alignment horizontal="center"/>
    </xf>
    <xf numFmtId="0" fontId="0" fillId="6" borderId="58" xfId="0" applyFill="1" applyBorder="1" applyAlignme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8" fillId="0" borderId="31" xfId="0" applyFont="1" applyFill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 wrapText="1"/>
    </xf>
    <xf numFmtId="0" fontId="60" fillId="0" borderId="30" xfId="0" applyFont="1" applyFill="1" applyBorder="1" applyAlignment="1">
      <alignment horizontal="center" wrapText="1"/>
    </xf>
    <xf numFmtId="0" fontId="60" fillId="0" borderId="32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166" fontId="0" fillId="0" borderId="16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7" fillId="0" borderId="31" xfId="0" applyNumberFormat="1" applyFont="1" applyBorder="1" applyAlignment="1">
      <alignment horizontal="center" wrapText="1"/>
    </xf>
    <xf numFmtId="166" fontId="7" fillId="0" borderId="30" xfId="0" applyNumberFormat="1" applyFont="1" applyBorder="1" applyAlignment="1">
      <alignment horizontal="center" wrapText="1"/>
    </xf>
    <xf numFmtId="166" fontId="7" fillId="0" borderId="32" xfId="0" applyNumberFormat="1" applyFont="1" applyBorder="1" applyAlignment="1">
      <alignment horizontal="center" wrapText="1"/>
    </xf>
    <xf numFmtId="166" fontId="7" fillId="0" borderId="33" xfId="0" applyNumberFormat="1" applyFont="1" applyFill="1" applyBorder="1" applyAlignment="1">
      <alignment horizontal="left" wrapText="1"/>
    </xf>
    <xf numFmtId="166" fontId="7" fillId="0" borderId="34" xfId="0" applyNumberFormat="1" applyFont="1" applyFill="1" applyBorder="1" applyAlignment="1">
      <alignment horizontal="left"/>
    </xf>
    <xf numFmtId="166" fontId="7" fillId="0" borderId="35" xfId="0" applyNumberFormat="1" applyFont="1" applyFill="1" applyBorder="1" applyAlignment="1">
      <alignment horizontal="left"/>
    </xf>
    <xf numFmtId="0" fontId="49" fillId="3" borderId="49" xfId="0" applyFont="1" applyFill="1" applyBorder="1" applyAlignment="1">
      <alignment horizontal="center"/>
    </xf>
    <xf numFmtId="0" fontId="49" fillId="3" borderId="57" xfId="0" applyFont="1" applyFill="1" applyBorder="1" applyAlignment="1"/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49" fillId="3" borderId="31" xfId="0" applyFont="1" applyFill="1" applyBorder="1" applyAlignment="1">
      <alignment horizontal="center" vertical="center"/>
    </xf>
    <xf numFmtId="0" fontId="49" fillId="3" borderId="58" xfId="0" applyFont="1" applyFill="1" applyBorder="1" applyAlignment="1">
      <alignment horizontal="center" vertical="center"/>
    </xf>
    <xf numFmtId="49" fontId="41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9" fillId="3" borderId="50" xfId="0" applyNumberFormat="1" applyFont="1" applyFill="1" applyBorder="1" applyAlignment="1">
      <alignment horizontal="center"/>
    </xf>
    <xf numFmtId="0" fontId="49" fillId="3" borderId="57" xfId="0" applyFont="1" applyFill="1" applyBorder="1" applyAlignment="1">
      <alignment horizontal="center"/>
    </xf>
    <xf numFmtId="0" fontId="49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9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9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9" fillId="4" borderId="31" xfId="0" applyNumberFormat="1" applyFont="1" applyFill="1" applyBorder="1" applyAlignment="1"/>
    <xf numFmtId="0" fontId="0" fillId="4" borderId="58" xfId="0" applyFill="1" applyBorder="1" applyAlignment="1"/>
    <xf numFmtId="0" fontId="1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" fontId="48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5" fontId="39" fillId="0" borderId="31" xfId="0" applyNumberFormat="1" applyFont="1" applyBorder="1" applyAlignment="1">
      <alignment wrapText="1"/>
    </xf>
    <xf numFmtId="165" fontId="47" fillId="0" borderId="30" xfId="0" applyNumberFormat="1" applyFont="1" applyBorder="1" applyAlignment="1">
      <alignment wrapText="1"/>
    </xf>
    <xf numFmtId="165" fontId="47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9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5" fillId="0" borderId="3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41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7" fillId="3" borderId="48" xfId="0" applyFont="1" applyFill="1" applyBorder="1" applyAlignment="1">
      <alignment wrapText="1"/>
    </xf>
    <xf numFmtId="0" fontId="0" fillId="3" borderId="66" xfId="0" applyFill="1" applyBorder="1" applyAlignment="1">
      <alignment wrapText="1"/>
    </xf>
    <xf numFmtId="0" fontId="7" fillId="3" borderId="31" xfId="0" applyFont="1" applyFill="1" applyBorder="1" applyAlignment="1">
      <alignment wrapText="1"/>
    </xf>
    <xf numFmtId="0" fontId="0" fillId="3" borderId="58" xfId="0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49" fillId="0" borderId="24" xfId="0" applyFont="1" applyBorder="1" applyAlignment="1">
      <alignment horizontal="center"/>
    </xf>
    <xf numFmtId="0" fontId="0" fillId="0" borderId="29" xfId="0" applyBorder="1" applyAlignment="1"/>
    <xf numFmtId="0" fontId="7" fillId="3" borderId="31" xfId="0" applyFont="1" applyFill="1" applyBorder="1" applyAlignment="1"/>
    <xf numFmtId="0" fontId="0" fillId="3" borderId="32" xfId="0" applyFill="1" applyBorder="1" applyAlignment="1"/>
    <xf numFmtId="0" fontId="7" fillId="3" borderId="30" xfId="0" applyFont="1" applyFill="1" applyBorder="1" applyAlignment="1"/>
    <xf numFmtId="0" fontId="0" fillId="3" borderId="30" xfId="0" applyFill="1" applyBorder="1" applyAlignment="1"/>
    <xf numFmtId="0" fontId="7" fillId="0" borderId="31" xfId="0" applyFont="1" applyBorder="1" applyAlignment="1"/>
    <xf numFmtId="0" fontId="0" fillId="0" borderId="32" xfId="0" applyBorder="1" applyAlignment="1"/>
    <xf numFmtId="0" fontId="7" fillId="0" borderId="30" xfId="0" applyFont="1" applyBorder="1" applyAlignment="1"/>
    <xf numFmtId="0" fontId="0" fillId="0" borderId="30" xfId="0" applyBorder="1" applyAlignment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 applyAlignment="1"/>
    <xf numFmtId="0" fontId="0" fillId="3" borderId="51" xfId="0" applyFill="1" applyBorder="1" applyAlignment="1"/>
    <xf numFmtId="0" fontId="7" fillId="3" borderId="80" xfId="0" applyFont="1" applyFill="1" applyBorder="1" applyAlignment="1"/>
    <xf numFmtId="0" fontId="0" fillId="3" borderId="80" xfId="0" applyFill="1" applyBorder="1" applyAlignment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</cellXfs>
  <cellStyles count="6">
    <cellStyle name="Ezres" xfId="1" builtinId="3"/>
    <cellStyle name="Ezres_Költségvetés 2005." xfId="2"/>
    <cellStyle name="Normál" xfId="0" builtinId="0"/>
    <cellStyle name="Normál_2003.évi költségvetés  xls" xfId="3"/>
    <cellStyle name="Normal_Dialog1_1_Module1" xfId="4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121"/>
  <sheetViews>
    <sheetView topLeftCell="B20" workbookViewId="0">
      <selection activeCell="C1" sqref="C1:I32"/>
    </sheetView>
  </sheetViews>
  <sheetFormatPr defaultRowHeight="12.75" x14ac:dyDescent="0.2"/>
  <cols>
    <col min="1" max="1" width="0.85546875" style="955" hidden="1" customWidth="1"/>
    <col min="2" max="2" width="0.85546875" style="944" customWidth="1"/>
    <col min="3" max="3" width="42.7109375" style="944" customWidth="1"/>
    <col min="4" max="4" width="18.85546875" style="64" customWidth="1"/>
    <col min="5" max="5" width="0.28515625" style="64" customWidth="1"/>
    <col min="6" max="6" width="0.28515625" style="61" customWidth="1"/>
    <col min="7" max="7" width="42" style="61" customWidth="1"/>
    <col min="8" max="8" width="19.7109375" style="64" customWidth="1"/>
    <col min="9" max="9" width="0.28515625" style="64" customWidth="1"/>
    <col min="10" max="10" width="0.28515625" style="61" customWidth="1"/>
    <col min="11" max="16384" width="9.140625" style="64"/>
  </cols>
  <sheetData>
    <row r="1" spans="1:21" ht="15" customHeight="1" thickBot="1" x14ac:dyDescent="0.4">
      <c r="A1" s="940" t="s">
        <v>23</v>
      </c>
      <c r="B1" s="940"/>
      <c r="C1" s="1941" t="s">
        <v>522</v>
      </c>
      <c r="D1" s="1942"/>
      <c r="E1" s="1942"/>
      <c r="F1" s="1942"/>
      <c r="G1" s="1942"/>
      <c r="H1" s="1942"/>
      <c r="I1" s="1943"/>
      <c r="J1" s="105"/>
      <c r="K1" s="941"/>
    </row>
    <row r="2" spans="1:21" s="943" customFormat="1" ht="2.25" hidden="1" customHeight="1" thickBot="1" x14ac:dyDescent="0.4">
      <c r="A2" s="942"/>
      <c r="B2" s="942"/>
      <c r="C2" s="197"/>
      <c r="D2" s="113"/>
      <c r="E2" s="114"/>
      <c r="F2" s="113"/>
      <c r="G2" s="128"/>
      <c r="H2" s="115"/>
      <c r="I2" s="198"/>
      <c r="J2" s="105"/>
      <c r="K2" s="941"/>
    </row>
    <row r="3" spans="1:21" ht="18" customHeight="1" thickBot="1" x14ac:dyDescent="0.3">
      <c r="A3" s="944"/>
      <c r="C3" s="116"/>
      <c r="D3" s="958" t="s">
        <v>6</v>
      </c>
      <c r="E3" s="117"/>
      <c r="F3" s="109"/>
      <c r="G3" s="109"/>
      <c r="H3" s="958" t="s">
        <v>111</v>
      </c>
      <c r="I3" s="117"/>
      <c r="J3" s="1269"/>
    </row>
    <row r="4" spans="1:21" ht="3" customHeight="1" thickBot="1" x14ac:dyDescent="0.3">
      <c r="A4" s="944"/>
      <c r="C4" s="122"/>
      <c r="D4" s="123"/>
      <c r="E4" s="124"/>
      <c r="F4" s="1199"/>
      <c r="G4" s="127"/>
      <c r="H4" s="123"/>
      <c r="I4" s="945"/>
      <c r="J4" s="107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</row>
    <row r="5" spans="1:21" ht="15.75" customHeight="1" thickBot="1" x14ac:dyDescent="0.3">
      <c r="A5" s="944"/>
      <c r="C5" s="996"/>
      <c r="D5" s="265" t="s">
        <v>403</v>
      </c>
      <c r="E5" s="267"/>
      <c r="F5" s="1267"/>
      <c r="G5" s="265"/>
      <c r="H5" s="265" t="s">
        <v>403</v>
      </c>
      <c r="I5" s="267"/>
      <c r="J5" s="1269"/>
      <c r="K5" s="946"/>
      <c r="L5" s="946"/>
      <c r="M5" s="946"/>
      <c r="N5" s="946"/>
      <c r="O5" s="946"/>
      <c r="P5" s="946"/>
      <c r="Q5" s="946"/>
      <c r="R5" s="946"/>
      <c r="S5" s="946"/>
      <c r="T5" s="946"/>
      <c r="U5" s="946"/>
    </row>
    <row r="6" spans="1:21" ht="27.75" customHeight="1" x14ac:dyDescent="0.25">
      <c r="A6" s="944"/>
      <c r="C6" s="997" t="s">
        <v>444</v>
      </c>
      <c r="D6" s="998">
        <v>500</v>
      </c>
      <c r="E6" s="1011">
        <v>500</v>
      </c>
      <c r="F6" s="1197"/>
      <c r="G6" s="1001" t="s">
        <v>149</v>
      </c>
      <c r="H6" s="1002">
        <v>400</v>
      </c>
      <c r="I6" s="1005">
        <v>400</v>
      </c>
      <c r="J6" s="137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</row>
    <row r="7" spans="1:21" ht="25.5" customHeight="1" x14ac:dyDescent="0.25">
      <c r="A7" s="944"/>
      <c r="C7" s="196" t="s">
        <v>571</v>
      </c>
      <c r="D7" s="272">
        <v>70000</v>
      </c>
      <c r="E7" s="1006">
        <v>379</v>
      </c>
      <c r="F7" s="1197">
        <v>303</v>
      </c>
      <c r="G7" s="1003" t="s">
        <v>582</v>
      </c>
      <c r="H7" s="272">
        <v>200</v>
      </c>
      <c r="I7" s="1006">
        <v>2000</v>
      </c>
      <c r="J7" s="1377">
        <v>775</v>
      </c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</row>
    <row r="8" spans="1:21" ht="15" x14ac:dyDescent="0.25">
      <c r="A8" s="944"/>
      <c r="C8" s="196" t="s">
        <v>445</v>
      </c>
      <c r="D8" s="274">
        <v>3000</v>
      </c>
      <c r="E8" s="1012">
        <v>3000</v>
      </c>
      <c r="F8" s="1197"/>
      <c r="G8" s="947" t="s">
        <v>583</v>
      </c>
      <c r="H8" s="275">
        <v>240000</v>
      </c>
      <c r="I8" s="1007">
        <v>1000</v>
      </c>
      <c r="J8" s="1377">
        <v>1793</v>
      </c>
    </row>
    <row r="9" spans="1:21" ht="25.5" customHeight="1" x14ac:dyDescent="0.25">
      <c r="A9" s="944"/>
      <c r="C9" s="196" t="s">
        <v>446</v>
      </c>
      <c r="D9" s="274">
        <v>3000</v>
      </c>
      <c r="E9" s="1012">
        <v>3000</v>
      </c>
      <c r="F9" s="1197"/>
      <c r="G9" s="1040" t="s">
        <v>447</v>
      </c>
      <c r="H9" s="373">
        <v>1000</v>
      </c>
      <c r="I9" s="1008">
        <v>1000</v>
      </c>
      <c r="J9" s="1377"/>
    </row>
    <row r="10" spans="1:21" ht="27.75" customHeight="1" x14ac:dyDescent="0.25">
      <c r="A10" s="944"/>
      <c r="C10" s="196" t="s">
        <v>572</v>
      </c>
      <c r="D10" s="272">
        <v>1000</v>
      </c>
      <c r="E10" s="1006">
        <v>12918</v>
      </c>
      <c r="F10" s="1197"/>
      <c r="G10" s="1003" t="s">
        <v>150</v>
      </c>
      <c r="H10" s="272">
        <v>2000</v>
      </c>
      <c r="I10" s="1009">
        <v>4000</v>
      </c>
      <c r="J10" s="1377"/>
    </row>
    <row r="11" spans="1:21" ht="36" customHeight="1" x14ac:dyDescent="0.25">
      <c r="A11" s="944"/>
      <c r="C11" s="1000" t="s">
        <v>573</v>
      </c>
      <c r="D11" s="272">
        <v>7000</v>
      </c>
      <c r="E11" s="1006">
        <v>400</v>
      </c>
      <c r="F11" s="1197"/>
      <c r="G11" s="947" t="s">
        <v>584</v>
      </c>
      <c r="H11" s="275">
        <v>3000</v>
      </c>
      <c r="I11" s="1007">
        <v>900</v>
      </c>
      <c r="J11" s="1377">
        <v>1862</v>
      </c>
    </row>
    <row r="12" spans="1:21" ht="27" customHeight="1" x14ac:dyDescent="0.25">
      <c r="A12" s="944"/>
      <c r="C12" s="1000" t="s">
        <v>575</v>
      </c>
      <c r="D12" s="272">
        <v>1500</v>
      </c>
      <c r="E12" s="1006">
        <v>2500</v>
      </c>
      <c r="F12" s="1197"/>
      <c r="G12" s="947" t="s">
        <v>347</v>
      </c>
      <c r="H12" s="275">
        <v>3000</v>
      </c>
      <c r="I12" s="1007">
        <v>4000</v>
      </c>
      <c r="J12" s="1377"/>
    </row>
    <row r="13" spans="1:21" ht="30" x14ac:dyDescent="0.25">
      <c r="A13" s="944"/>
      <c r="C13" s="1000" t="s">
        <v>574</v>
      </c>
      <c r="D13" s="272">
        <v>104000</v>
      </c>
      <c r="E13" s="1006">
        <v>108000</v>
      </c>
      <c r="F13" s="1197"/>
      <c r="G13" s="947" t="s">
        <v>585</v>
      </c>
      <c r="H13" s="275">
        <v>6000</v>
      </c>
      <c r="I13" s="1007">
        <v>1000</v>
      </c>
      <c r="J13" s="1377"/>
    </row>
    <row r="14" spans="1:21" ht="15" x14ac:dyDescent="0.25">
      <c r="A14" s="944"/>
      <c r="C14" s="999" t="s">
        <v>449</v>
      </c>
      <c r="D14" s="272">
        <v>1000</v>
      </c>
      <c r="E14" s="1006">
        <v>1500</v>
      </c>
      <c r="F14" s="1197">
        <v>1132</v>
      </c>
      <c r="G14" s="947" t="s">
        <v>448</v>
      </c>
      <c r="H14" s="275">
        <v>1000</v>
      </c>
      <c r="I14" s="1010">
        <v>50</v>
      </c>
      <c r="J14" s="1377">
        <v>44</v>
      </c>
    </row>
    <row r="15" spans="1:21" ht="28.5" customHeight="1" x14ac:dyDescent="0.25">
      <c r="A15" s="944"/>
      <c r="C15" s="1000" t="s">
        <v>577</v>
      </c>
      <c r="D15" s="1762">
        <v>150</v>
      </c>
      <c r="E15" s="1014">
        <v>13613</v>
      </c>
      <c r="F15" s="1197"/>
      <c r="G15" s="947" t="s">
        <v>450</v>
      </c>
      <c r="H15" s="275">
        <v>1000</v>
      </c>
      <c r="I15" s="1007">
        <v>1000</v>
      </c>
      <c r="J15" s="1377"/>
    </row>
    <row r="16" spans="1:21" ht="30.75" customHeight="1" x14ac:dyDescent="0.25">
      <c r="A16" s="944"/>
      <c r="C16" s="1000" t="s">
        <v>576</v>
      </c>
      <c r="D16" s="272">
        <v>500</v>
      </c>
      <c r="E16" s="1006">
        <v>350</v>
      </c>
      <c r="F16" s="1197"/>
      <c r="G16" s="947" t="s">
        <v>586</v>
      </c>
      <c r="H16" s="275">
        <v>20000</v>
      </c>
      <c r="I16" s="1007">
        <v>10000</v>
      </c>
      <c r="J16" s="1377"/>
    </row>
    <row r="17" spans="1:10" ht="21" customHeight="1" x14ac:dyDescent="0.25">
      <c r="A17" s="944"/>
      <c r="C17" s="999" t="s">
        <v>451</v>
      </c>
      <c r="D17" s="272">
        <v>300</v>
      </c>
      <c r="E17" s="1006">
        <v>300</v>
      </c>
      <c r="F17" s="1197"/>
      <c r="G17" s="947" t="s">
        <v>608</v>
      </c>
      <c r="H17" s="275">
        <v>530</v>
      </c>
      <c r="I17" s="1007">
        <v>100</v>
      </c>
      <c r="J17" s="1377">
        <v>133</v>
      </c>
    </row>
    <row r="18" spans="1:10" ht="43.5" customHeight="1" x14ac:dyDescent="0.25">
      <c r="A18" s="944"/>
      <c r="C18" s="1000" t="s">
        <v>452</v>
      </c>
      <c r="D18" s="272">
        <v>1800</v>
      </c>
      <c r="E18" s="1006">
        <v>1800</v>
      </c>
      <c r="F18" s="1197"/>
      <c r="G18" s="947" t="s">
        <v>453</v>
      </c>
      <c r="H18" s="275">
        <v>5000</v>
      </c>
      <c r="I18" s="1007">
        <v>5000</v>
      </c>
      <c r="J18" s="1377"/>
    </row>
    <row r="19" spans="1:10" ht="35.25" customHeight="1" x14ac:dyDescent="0.25">
      <c r="A19" s="944"/>
      <c r="C19" s="999" t="s">
        <v>454</v>
      </c>
      <c r="D19" s="272">
        <v>700</v>
      </c>
      <c r="E19" s="1006">
        <v>700</v>
      </c>
      <c r="F19" s="1197"/>
      <c r="G19" s="947" t="s">
        <v>587</v>
      </c>
      <c r="H19" s="275">
        <v>500</v>
      </c>
      <c r="I19" s="1007">
        <v>800</v>
      </c>
      <c r="J19" s="1377"/>
    </row>
    <row r="20" spans="1:10" ht="31.5" customHeight="1" x14ac:dyDescent="0.25">
      <c r="A20" s="944"/>
      <c r="C20" s="196" t="s">
        <v>455</v>
      </c>
      <c r="D20" s="272">
        <v>500</v>
      </c>
      <c r="E20" s="1006">
        <v>500</v>
      </c>
      <c r="F20" s="1197"/>
      <c r="G20" s="856" t="s">
        <v>456</v>
      </c>
      <c r="H20" s="273">
        <v>30</v>
      </c>
      <c r="I20" s="1010">
        <v>300</v>
      </c>
      <c r="J20" s="1377"/>
    </row>
    <row r="21" spans="1:10" ht="30" x14ac:dyDescent="0.25">
      <c r="A21" s="944"/>
      <c r="C21" s="1000" t="s">
        <v>578</v>
      </c>
      <c r="D21" s="1762">
        <v>1950</v>
      </c>
      <c r="E21" s="1010">
        <v>7040</v>
      </c>
      <c r="F21" s="1197">
        <v>7040</v>
      </c>
      <c r="G21" s="856" t="s">
        <v>609</v>
      </c>
      <c r="H21" s="273">
        <v>127</v>
      </c>
      <c r="I21" s="1010">
        <v>3000</v>
      </c>
      <c r="J21" s="1377">
        <v>3449</v>
      </c>
    </row>
    <row r="22" spans="1:10" ht="15" x14ac:dyDescent="0.25">
      <c r="A22" s="944"/>
      <c r="C22" s="999" t="s">
        <v>579</v>
      </c>
      <c r="D22" s="1762">
        <v>500</v>
      </c>
      <c r="E22" s="1010">
        <v>5741</v>
      </c>
      <c r="F22" s="1197">
        <v>5741</v>
      </c>
      <c r="G22" s="856" t="s">
        <v>616</v>
      </c>
      <c r="H22" s="273">
        <v>300</v>
      </c>
      <c r="I22" s="1010">
        <v>1365</v>
      </c>
      <c r="J22" s="1377">
        <v>1295</v>
      </c>
    </row>
    <row r="23" spans="1:10" ht="15" x14ac:dyDescent="0.25">
      <c r="A23" s="944"/>
      <c r="C23" s="999" t="s">
        <v>580</v>
      </c>
      <c r="D23" s="272">
        <v>15000</v>
      </c>
      <c r="E23" s="1010">
        <v>2804</v>
      </c>
      <c r="F23" s="1197"/>
      <c r="G23" s="856"/>
      <c r="H23" s="273"/>
      <c r="I23" s="1010">
        <v>410</v>
      </c>
      <c r="J23" s="1377"/>
    </row>
    <row r="24" spans="1:10" ht="15" x14ac:dyDescent="0.25">
      <c r="A24" s="944"/>
      <c r="C24" s="999" t="s">
        <v>581</v>
      </c>
      <c r="D24" s="272">
        <v>14960</v>
      </c>
      <c r="E24" s="647"/>
      <c r="F24" s="1309">
        <v>4792</v>
      </c>
      <c r="G24" s="856"/>
      <c r="H24" s="273"/>
      <c r="I24" s="1010">
        <v>30</v>
      </c>
      <c r="J24" s="1377"/>
    </row>
    <row r="25" spans="1:10" ht="15" x14ac:dyDescent="0.25">
      <c r="A25" s="944"/>
      <c r="C25" s="999"/>
      <c r="D25" s="1763"/>
      <c r="E25" s="647"/>
      <c r="F25" s="1309">
        <v>832</v>
      </c>
      <c r="G25" s="856"/>
      <c r="H25" s="273"/>
      <c r="I25" s="1010"/>
      <c r="J25" s="1377">
        <v>281</v>
      </c>
    </row>
    <row r="26" spans="1:10" ht="15" customHeight="1" x14ac:dyDescent="0.25">
      <c r="A26" s="944"/>
      <c r="C26" s="999"/>
      <c r="D26" s="1763"/>
      <c r="E26" s="267"/>
      <c r="F26" s="1309"/>
      <c r="G26" s="856"/>
      <c r="H26" s="273"/>
      <c r="I26" s="1010">
        <v>171</v>
      </c>
      <c r="J26" s="1378">
        <v>154</v>
      </c>
    </row>
    <row r="27" spans="1:10" ht="15" customHeight="1" thickBot="1" x14ac:dyDescent="0.3">
      <c r="A27" s="944"/>
      <c r="C27" s="1046"/>
      <c r="D27" s="1764"/>
      <c r="E27" s="948"/>
      <c r="F27" s="1310"/>
      <c r="G27" s="994"/>
      <c r="H27" s="424"/>
      <c r="I27" s="1100"/>
      <c r="J27" s="1379">
        <v>174</v>
      </c>
    </row>
    <row r="28" spans="1:10" ht="24" customHeight="1" thickBot="1" x14ac:dyDescent="0.3">
      <c r="A28" s="949"/>
      <c r="B28" s="949"/>
      <c r="C28" s="1765" t="s">
        <v>1</v>
      </c>
      <c r="D28" s="1766">
        <f>SUM(D6:D26)</f>
        <v>227360</v>
      </c>
      <c r="E28" s="951">
        <f>SUM(E6:E25)</f>
        <v>165045</v>
      </c>
      <c r="F28" s="1201">
        <f>SUM(F6:F27)</f>
        <v>19840</v>
      </c>
      <c r="G28" s="270"/>
      <c r="H28" s="1767">
        <f>SUM(H6:H26)</f>
        <v>284087</v>
      </c>
      <c r="I28" s="263">
        <f>SUM(I6:I27)</f>
        <v>36526</v>
      </c>
      <c r="J28" s="1380">
        <f>SUM(J6:J27)</f>
        <v>9960</v>
      </c>
    </row>
    <row r="29" spans="1:10" ht="21.75" customHeight="1" thickBot="1" x14ac:dyDescent="0.35">
      <c r="A29" s="946"/>
      <c r="B29" s="946"/>
      <c r="C29" s="950"/>
      <c r="D29" s="270" t="s">
        <v>472</v>
      </c>
      <c r="E29" s="914"/>
      <c r="F29" s="270"/>
      <c r="G29" s="1013"/>
      <c r="H29" s="1768">
        <f>SUM(H28+D28)</f>
        <v>511447</v>
      </c>
      <c r="I29" s="263">
        <f>SUM(H28+D28)</f>
        <v>511447</v>
      </c>
      <c r="J29" s="1380"/>
    </row>
    <row r="30" spans="1:10" ht="0.2" customHeight="1" thickBot="1" x14ac:dyDescent="0.3">
      <c r="A30" s="946"/>
      <c r="B30" s="946"/>
      <c r="C30" s="119"/>
      <c r="D30" s="270" t="s">
        <v>471</v>
      </c>
      <c r="E30" s="271"/>
      <c r="F30" s="271"/>
      <c r="G30" s="952"/>
      <c r="H30" s="271"/>
      <c r="I30" s="264">
        <f>SUM(E28+I28)</f>
        <v>201571</v>
      </c>
      <c r="J30" s="1380"/>
    </row>
    <row r="31" spans="1:10" ht="0.2" customHeight="1" thickBot="1" x14ac:dyDescent="0.3">
      <c r="A31" s="946"/>
      <c r="B31" s="946"/>
      <c r="C31" s="119"/>
      <c r="D31" s="270" t="s">
        <v>507</v>
      </c>
      <c r="E31" s="271"/>
      <c r="F31" s="271"/>
      <c r="G31" s="952"/>
      <c r="H31" s="271"/>
      <c r="I31" s="264"/>
      <c r="J31" s="1381">
        <f>SUM(J28+F28)</f>
        <v>29800</v>
      </c>
    </row>
    <row r="32" spans="1:10" ht="15.75" x14ac:dyDescent="0.25">
      <c r="A32" s="946"/>
      <c r="B32" s="946"/>
      <c r="C32" s="118" t="s">
        <v>194</v>
      </c>
      <c r="D32" s="118"/>
      <c r="E32" s="120"/>
      <c r="F32" s="118"/>
      <c r="G32" s="118"/>
      <c r="H32" s="121"/>
      <c r="I32" s="121"/>
      <c r="J32" s="1382">
        <f>SUM(J31/I30)</f>
        <v>0.14783872680097832</v>
      </c>
    </row>
    <row r="33" spans="1:10" x14ac:dyDescent="0.2">
      <c r="A33" s="946"/>
      <c r="B33" s="946"/>
      <c r="C33" s="110"/>
      <c r="D33" s="108"/>
      <c r="E33" s="111"/>
      <c r="F33" s="110"/>
      <c r="G33" s="110"/>
      <c r="H33" s="112"/>
      <c r="I33" s="112"/>
      <c r="J33" s="106"/>
    </row>
    <row r="34" spans="1:10" x14ac:dyDescent="0.2">
      <c r="A34" s="946"/>
      <c r="B34" s="946"/>
      <c r="C34" s="946"/>
      <c r="E34" s="953"/>
      <c r="F34" s="954"/>
      <c r="G34" s="954"/>
      <c r="H34" s="946"/>
      <c r="I34" s="946"/>
    </row>
    <row r="35" spans="1:10" s="24" customFormat="1" ht="15.75" x14ac:dyDescent="0.25">
      <c r="A35" s="23" t="s">
        <v>7</v>
      </c>
      <c r="B35" s="23"/>
      <c r="C35" s="23"/>
      <c r="E35" s="946"/>
      <c r="F35" s="65"/>
      <c r="G35" s="65"/>
      <c r="H35" s="946"/>
      <c r="I35" s="946"/>
      <c r="J35" s="25"/>
    </row>
    <row r="36" spans="1:10" ht="15.75" x14ac:dyDescent="0.25">
      <c r="A36" s="946"/>
      <c r="B36" s="946"/>
      <c r="C36" s="946"/>
      <c r="D36" s="65"/>
      <c r="E36" s="1268"/>
      <c r="F36" s="946"/>
      <c r="G36" s="946"/>
    </row>
    <row r="37" spans="1:10" x14ac:dyDescent="0.2">
      <c r="E37" s="946"/>
    </row>
    <row r="38" spans="1:10" x14ac:dyDescent="0.2">
      <c r="A38" s="956"/>
      <c r="B38" s="956"/>
      <c r="C38" s="956"/>
    </row>
    <row r="39" spans="1:10" x14ac:dyDescent="0.2">
      <c r="A39" s="957"/>
      <c r="B39" s="957"/>
      <c r="C39" s="957"/>
    </row>
    <row r="40" spans="1:10" x14ac:dyDescent="0.2">
      <c r="A40" s="957"/>
      <c r="B40" s="957"/>
      <c r="C40" s="957"/>
    </row>
    <row r="41" spans="1:10" x14ac:dyDescent="0.2">
      <c r="A41" s="957"/>
      <c r="B41" s="957"/>
      <c r="C41" s="957"/>
    </row>
    <row r="42" spans="1:10" x14ac:dyDescent="0.2">
      <c r="A42" s="957"/>
      <c r="B42" s="957"/>
      <c r="C42" s="957"/>
    </row>
    <row r="43" spans="1:10" x14ac:dyDescent="0.2">
      <c r="A43" s="957"/>
      <c r="B43" s="957"/>
      <c r="C43" s="957"/>
    </row>
    <row r="44" spans="1:10" x14ac:dyDescent="0.2">
      <c r="A44" s="957"/>
      <c r="B44" s="957"/>
      <c r="C44" s="957"/>
    </row>
    <row r="45" spans="1:10" x14ac:dyDescent="0.2">
      <c r="A45" s="957"/>
      <c r="B45" s="957"/>
      <c r="C45" s="957"/>
    </row>
    <row r="46" spans="1:10" x14ac:dyDescent="0.2">
      <c r="A46" s="957"/>
      <c r="B46" s="957"/>
      <c r="C46" s="957"/>
    </row>
    <row r="47" spans="1:10" x14ac:dyDescent="0.2">
      <c r="A47" s="957"/>
      <c r="B47" s="957"/>
      <c r="C47" s="957"/>
    </row>
    <row r="48" spans="1:10" x14ac:dyDescent="0.2">
      <c r="A48" s="957"/>
      <c r="B48" s="957"/>
      <c r="C48" s="957"/>
    </row>
    <row r="49" spans="1:10" x14ac:dyDescent="0.2">
      <c r="A49" s="957"/>
      <c r="B49" s="957"/>
      <c r="C49" s="957"/>
    </row>
    <row r="50" spans="1:10" x14ac:dyDescent="0.2">
      <c r="A50" s="957"/>
      <c r="B50" s="957"/>
      <c r="C50" s="957"/>
    </row>
    <row r="51" spans="1:10" x14ac:dyDescent="0.2">
      <c r="A51" s="957"/>
      <c r="B51" s="957"/>
      <c r="C51" s="957"/>
    </row>
    <row r="52" spans="1:10" x14ac:dyDescent="0.2">
      <c r="A52" s="957"/>
      <c r="B52" s="957"/>
      <c r="C52" s="957"/>
    </row>
    <row r="53" spans="1:10" x14ac:dyDescent="0.2">
      <c r="A53" s="957"/>
      <c r="B53" s="957"/>
      <c r="C53" s="957"/>
    </row>
    <row r="54" spans="1:10" x14ac:dyDescent="0.2">
      <c r="A54" s="957"/>
      <c r="B54" s="957"/>
      <c r="C54" s="957"/>
    </row>
    <row r="55" spans="1:10" x14ac:dyDescent="0.2">
      <c r="A55" s="957"/>
      <c r="B55" s="957"/>
      <c r="C55" s="957"/>
    </row>
    <row r="56" spans="1:10" x14ac:dyDescent="0.2">
      <c r="A56" s="957"/>
      <c r="B56" s="957"/>
      <c r="C56" s="957"/>
    </row>
    <row r="57" spans="1:10" x14ac:dyDescent="0.2">
      <c r="A57" s="946"/>
      <c r="B57" s="946"/>
      <c r="C57" s="946"/>
    </row>
    <row r="58" spans="1:10" ht="12" customHeight="1" x14ac:dyDescent="0.2">
      <c r="A58" s="65"/>
      <c r="B58" s="65"/>
      <c r="C58" s="65"/>
    </row>
    <row r="59" spans="1:10" x14ac:dyDescent="0.2">
      <c r="A59" s="944"/>
    </row>
    <row r="60" spans="1:10" x14ac:dyDescent="0.2">
      <c r="A60" s="944"/>
    </row>
    <row r="61" spans="1:10" x14ac:dyDescent="0.2">
      <c r="A61" s="944"/>
    </row>
    <row r="62" spans="1:10" s="962" customFormat="1" ht="15.75" x14ac:dyDescent="0.25">
      <c r="A62" s="961"/>
      <c r="B62" s="961"/>
      <c r="C62" s="961"/>
      <c r="D62" s="64"/>
      <c r="E62" s="64"/>
      <c r="F62" s="61"/>
      <c r="G62" s="61"/>
      <c r="H62" s="64"/>
      <c r="I62" s="64"/>
      <c r="J62" s="61"/>
    </row>
    <row r="63" spans="1:10" x14ac:dyDescent="0.2">
      <c r="A63" s="944"/>
    </row>
    <row r="64" spans="1:10" x14ac:dyDescent="0.2">
      <c r="A64" s="946"/>
      <c r="B64" s="946"/>
      <c r="C64" s="946"/>
    </row>
    <row r="65" spans="1:10" x14ac:dyDescent="0.2">
      <c r="A65" s="946"/>
      <c r="B65" s="946"/>
      <c r="C65" s="946"/>
    </row>
    <row r="66" spans="1:10" x14ac:dyDescent="0.2">
      <c r="A66" s="946"/>
      <c r="B66" s="946"/>
      <c r="C66" s="946"/>
    </row>
    <row r="67" spans="1:10" x14ac:dyDescent="0.2">
      <c r="A67" s="946"/>
      <c r="B67" s="946"/>
      <c r="C67" s="946"/>
    </row>
    <row r="68" spans="1:10" x14ac:dyDescent="0.2">
      <c r="A68" s="946"/>
      <c r="B68" s="946"/>
      <c r="C68" s="946"/>
    </row>
    <row r="69" spans="1:10" x14ac:dyDescent="0.2">
      <c r="A69" s="944"/>
    </row>
    <row r="70" spans="1:10" x14ac:dyDescent="0.2">
      <c r="A70" s="944"/>
    </row>
    <row r="71" spans="1:10" ht="15.75" x14ac:dyDescent="0.25">
      <c r="A71" s="944"/>
      <c r="J71" s="962"/>
    </row>
    <row r="72" spans="1:10" x14ac:dyDescent="0.2">
      <c r="A72" s="944"/>
    </row>
    <row r="73" spans="1:10" x14ac:dyDescent="0.2">
      <c r="A73" s="944"/>
    </row>
    <row r="74" spans="1:10" x14ac:dyDescent="0.2">
      <c r="A74" s="944"/>
    </row>
    <row r="75" spans="1:10" x14ac:dyDescent="0.2">
      <c r="A75" s="944"/>
    </row>
    <row r="76" spans="1:10" x14ac:dyDescent="0.2">
      <c r="A76" s="944"/>
    </row>
    <row r="77" spans="1:10" x14ac:dyDescent="0.2">
      <c r="A77" s="963"/>
      <c r="D77" s="946"/>
    </row>
    <row r="78" spans="1:10" x14ac:dyDescent="0.2">
      <c r="A78" s="963"/>
      <c r="D78" s="946"/>
    </row>
    <row r="79" spans="1:10" x14ac:dyDescent="0.2">
      <c r="A79" s="963"/>
      <c r="D79" s="946"/>
    </row>
    <row r="80" spans="1:10" x14ac:dyDescent="0.2">
      <c r="A80" s="963"/>
      <c r="D80" s="946"/>
    </row>
    <row r="81" spans="1:10" x14ac:dyDescent="0.2">
      <c r="A81" s="963"/>
      <c r="D81" s="946"/>
    </row>
    <row r="82" spans="1:10" x14ac:dyDescent="0.2">
      <c r="A82" s="963"/>
      <c r="D82" s="946"/>
    </row>
    <row r="83" spans="1:10" x14ac:dyDescent="0.2">
      <c r="A83" s="963"/>
      <c r="D83" s="946"/>
      <c r="F83" s="64"/>
      <c r="G83" s="64"/>
      <c r="J83" s="64"/>
    </row>
    <row r="84" spans="1:10" x14ac:dyDescent="0.2">
      <c r="A84" s="963"/>
      <c r="D84" s="946"/>
      <c r="F84" s="64"/>
      <c r="G84" s="64"/>
      <c r="J84" s="64"/>
    </row>
    <row r="85" spans="1:10" x14ac:dyDescent="0.2">
      <c r="A85" s="963"/>
      <c r="D85" s="946"/>
      <c r="F85" s="64"/>
      <c r="G85" s="64"/>
      <c r="J85" s="64"/>
    </row>
    <row r="86" spans="1:10" x14ac:dyDescent="0.2">
      <c r="A86" s="963"/>
      <c r="D86" s="946"/>
      <c r="F86" s="64"/>
      <c r="G86" s="64"/>
      <c r="J86" s="64"/>
    </row>
    <row r="87" spans="1:10" x14ac:dyDescent="0.2">
      <c r="A87" s="963"/>
      <c r="D87" s="946"/>
      <c r="F87" s="64"/>
      <c r="G87" s="64"/>
      <c r="J87" s="64"/>
    </row>
    <row r="88" spans="1:10" x14ac:dyDescent="0.2">
      <c r="A88" s="963"/>
      <c r="D88" s="946"/>
      <c r="F88" s="64"/>
      <c r="G88" s="64"/>
      <c r="J88" s="64"/>
    </row>
    <row r="89" spans="1:10" x14ac:dyDescent="0.2">
      <c r="A89" s="963"/>
      <c r="D89" s="946"/>
      <c r="F89" s="64"/>
      <c r="G89" s="64"/>
      <c r="J89" s="64"/>
    </row>
    <row r="90" spans="1:10" x14ac:dyDescent="0.2">
      <c r="A90" s="963"/>
      <c r="D90" s="946"/>
      <c r="F90" s="64"/>
      <c r="G90" s="64"/>
      <c r="J90" s="64"/>
    </row>
    <row r="91" spans="1:10" x14ac:dyDescent="0.2">
      <c r="A91" s="963"/>
      <c r="D91" s="946"/>
      <c r="F91" s="64"/>
      <c r="G91" s="64"/>
      <c r="J91" s="64"/>
    </row>
    <row r="92" spans="1:10" x14ac:dyDescent="0.2">
      <c r="A92" s="963"/>
      <c r="D92" s="946"/>
      <c r="F92" s="64"/>
      <c r="G92" s="64"/>
      <c r="J92" s="64"/>
    </row>
    <row r="93" spans="1:10" x14ac:dyDescent="0.2">
      <c r="A93" s="963"/>
      <c r="D93" s="946"/>
      <c r="F93" s="64"/>
      <c r="G93" s="64"/>
      <c r="J93" s="64"/>
    </row>
    <row r="94" spans="1:10" x14ac:dyDescent="0.2">
      <c r="A94" s="963"/>
      <c r="D94" s="946"/>
      <c r="F94" s="64"/>
      <c r="G94" s="64"/>
      <c r="J94" s="64"/>
    </row>
    <row r="95" spans="1:10" x14ac:dyDescent="0.2">
      <c r="A95" s="963"/>
      <c r="D95" s="946"/>
      <c r="F95" s="64"/>
      <c r="G95" s="64"/>
      <c r="J95" s="64"/>
    </row>
    <row r="96" spans="1:10" x14ac:dyDescent="0.2">
      <c r="A96" s="963"/>
      <c r="D96" s="946"/>
      <c r="F96" s="64"/>
      <c r="G96" s="64"/>
      <c r="J96" s="64"/>
    </row>
    <row r="97" spans="1:10" x14ac:dyDescent="0.2">
      <c r="A97" s="963"/>
      <c r="D97" s="946"/>
      <c r="F97" s="64"/>
      <c r="G97" s="64"/>
      <c r="J97" s="64"/>
    </row>
    <row r="98" spans="1:10" x14ac:dyDescent="0.2">
      <c r="A98" s="963"/>
      <c r="D98" s="946"/>
      <c r="F98" s="64"/>
      <c r="G98" s="64"/>
      <c r="J98" s="64"/>
    </row>
    <row r="99" spans="1:10" x14ac:dyDescent="0.2">
      <c r="A99" s="963"/>
      <c r="D99" s="946"/>
      <c r="F99" s="64"/>
      <c r="G99" s="64"/>
      <c r="J99" s="64"/>
    </row>
    <row r="100" spans="1:10" x14ac:dyDescent="0.2">
      <c r="A100" s="963"/>
      <c r="D100" s="946"/>
      <c r="F100" s="64"/>
      <c r="G100" s="64"/>
      <c r="J100" s="64"/>
    </row>
    <row r="101" spans="1:10" x14ac:dyDescent="0.2">
      <c r="A101" s="963"/>
      <c r="D101" s="946"/>
      <c r="F101" s="64"/>
      <c r="G101" s="64"/>
      <c r="J101" s="64"/>
    </row>
    <row r="102" spans="1:10" x14ac:dyDescent="0.2">
      <c r="A102" s="963"/>
      <c r="D102" s="946"/>
      <c r="F102" s="64"/>
      <c r="G102" s="64"/>
      <c r="J102" s="64"/>
    </row>
    <row r="103" spans="1:10" x14ac:dyDescent="0.2">
      <c r="A103" s="963"/>
      <c r="D103" s="946"/>
      <c r="F103" s="64"/>
      <c r="G103" s="64"/>
      <c r="J103" s="64"/>
    </row>
    <row r="104" spans="1:10" x14ac:dyDescent="0.2">
      <c r="A104" s="963"/>
      <c r="D104" s="946"/>
      <c r="F104" s="64"/>
      <c r="G104" s="64"/>
      <c r="J104" s="64"/>
    </row>
    <row r="105" spans="1:10" x14ac:dyDescent="0.2">
      <c r="A105" s="963"/>
      <c r="D105" s="946"/>
      <c r="F105" s="64"/>
      <c r="G105" s="64"/>
      <c r="J105" s="64"/>
    </row>
    <row r="106" spans="1:10" x14ac:dyDescent="0.2">
      <c r="A106" s="963"/>
      <c r="D106" s="946"/>
      <c r="F106" s="64"/>
      <c r="G106" s="64"/>
      <c r="J106" s="64"/>
    </row>
    <row r="107" spans="1:10" x14ac:dyDescent="0.2">
      <c r="A107" s="963"/>
      <c r="D107" s="946"/>
      <c r="F107" s="64"/>
      <c r="G107" s="64"/>
      <c r="J107" s="64"/>
    </row>
    <row r="108" spans="1:10" x14ac:dyDescent="0.2">
      <c r="A108" s="963"/>
      <c r="D108" s="946"/>
      <c r="F108" s="64"/>
      <c r="G108" s="64"/>
      <c r="J108" s="64"/>
    </row>
    <row r="109" spans="1:10" x14ac:dyDescent="0.2">
      <c r="A109" s="963"/>
      <c r="D109" s="946"/>
      <c r="F109" s="64"/>
      <c r="G109" s="64"/>
      <c r="J109" s="64"/>
    </row>
    <row r="110" spans="1:10" x14ac:dyDescent="0.2">
      <c r="A110" s="964"/>
      <c r="D110" s="946"/>
      <c r="F110" s="64"/>
      <c r="G110" s="64"/>
      <c r="J110" s="64"/>
    </row>
    <row r="111" spans="1:10" x14ac:dyDescent="0.2">
      <c r="A111" s="964"/>
      <c r="D111" s="946"/>
      <c r="F111" s="64"/>
      <c r="G111" s="64"/>
      <c r="J111" s="64"/>
    </row>
    <row r="112" spans="1:10" x14ac:dyDescent="0.2">
      <c r="A112" s="964"/>
      <c r="D112" s="946"/>
      <c r="F112" s="64"/>
      <c r="G112" s="64"/>
      <c r="J112" s="64"/>
    </row>
    <row r="113" spans="1:10" x14ac:dyDescent="0.2">
      <c r="F113" s="64"/>
      <c r="G113" s="64"/>
      <c r="J113" s="64"/>
    </row>
    <row r="114" spans="1:10" x14ac:dyDescent="0.2">
      <c r="F114" s="64"/>
      <c r="G114" s="64"/>
      <c r="J114" s="64"/>
    </row>
    <row r="115" spans="1:10" x14ac:dyDescent="0.2">
      <c r="A115" s="64"/>
      <c r="B115" s="64"/>
      <c r="C115" s="64"/>
      <c r="F115" s="64"/>
      <c r="G115" s="64"/>
      <c r="J115" s="64"/>
    </row>
    <row r="116" spans="1:10" x14ac:dyDescent="0.2">
      <c r="A116" s="64"/>
      <c r="B116" s="64"/>
      <c r="C116" s="64"/>
      <c r="F116" s="64"/>
      <c r="G116" s="64"/>
      <c r="J116" s="64"/>
    </row>
    <row r="117" spans="1:10" x14ac:dyDescent="0.2">
      <c r="A117" s="64"/>
      <c r="B117" s="64"/>
      <c r="C117" s="64"/>
      <c r="F117" s="64"/>
      <c r="G117" s="64"/>
      <c r="J117" s="64"/>
    </row>
    <row r="118" spans="1:10" x14ac:dyDescent="0.2">
      <c r="A118" s="64"/>
      <c r="B118" s="64"/>
      <c r="C118" s="64"/>
      <c r="F118" s="64"/>
      <c r="G118" s="64"/>
      <c r="J118" s="64"/>
    </row>
    <row r="119" spans="1:10" x14ac:dyDescent="0.2">
      <c r="A119" s="64"/>
      <c r="B119" s="64"/>
      <c r="C119" s="64"/>
      <c r="F119" s="64"/>
      <c r="G119" s="64"/>
      <c r="J119" s="64"/>
    </row>
    <row r="120" spans="1:10" x14ac:dyDescent="0.2">
      <c r="A120" s="64"/>
      <c r="B120" s="64"/>
      <c r="C120" s="64"/>
      <c r="F120" s="64"/>
      <c r="G120" s="64"/>
      <c r="J120" s="64"/>
    </row>
    <row r="121" spans="1:10" x14ac:dyDescent="0.2">
      <c r="A121" s="64"/>
      <c r="B121" s="64"/>
      <c r="C121" s="64"/>
      <c r="F121" s="64"/>
      <c r="G121" s="64"/>
      <c r="J121" s="64"/>
    </row>
  </sheetData>
  <mergeCells count="1">
    <mergeCell ref="C1:I1"/>
  </mergeCells>
  <phoneticPr fontId="3" type="noConversion"/>
  <printOptions horizontalCentered="1"/>
  <pageMargins left="0.31496062992125984" right="0.11811023622047245" top="0.39370078740157483" bottom="0.27559055118110237" header="0.15748031496062992" footer="0.51181102362204722"/>
  <pageSetup paperSize="9" orientation="landscape" horizontalDpi="300" verticalDpi="300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H453"/>
  <sheetViews>
    <sheetView topLeftCell="A28" workbookViewId="0">
      <selection sqref="A1:B34"/>
    </sheetView>
  </sheetViews>
  <sheetFormatPr defaultRowHeight="12.75" x14ac:dyDescent="0.2"/>
  <cols>
    <col min="1" max="1" width="74" customWidth="1"/>
    <col min="2" max="2" width="18.28515625" customWidth="1"/>
    <col min="3" max="5" width="0.28515625" customWidth="1"/>
  </cols>
  <sheetData>
    <row r="1" spans="1:8" ht="31.5" customHeight="1" thickBot="1" x14ac:dyDescent="0.3">
      <c r="A1" s="1944" t="s">
        <v>523</v>
      </c>
      <c r="B1" s="1945"/>
      <c r="C1" s="33"/>
      <c r="D1" s="33"/>
    </row>
    <row r="2" spans="1:8" s="31" customFormat="1" ht="0.75" customHeight="1" x14ac:dyDescent="0.25">
      <c r="A2" s="199"/>
      <c r="B2" s="200"/>
    </row>
    <row r="3" spans="1:8" ht="0.75" customHeight="1" x14ac:dyDescent="0.25">
      <c r="A3" s="201"/>
      <c r="B3" s="202"/>
    </row>
    <row r="4" spans="1:8" ht="0.75" customHeight="1" thickBot="1" x14ac:dyDescent="0.3">
      <c r="A4" s="201"/>
      <c r="B4" s="202"/>
    </row>
    <row r="5" spans="1:8" ht="27" customHeight="1" x14ac:dyDescent="0.25">
      <c r="A5" s="201"/>
      <c r="B5" s="1024" t="s">
        <v>392</v>
      </c>
      <c r="C5" s="898" t="s">
        <v>397</v>
      </c>
      <c r="D5" s="1311" t="s">
        <v>391</v>
      </c>
      <c r="E5" s="1314" t="s">
        <v>497</v>
      </c>
    </row>
    <row r="6" spans="1:8" ht="15" customHeight="1" thickBot="1" x14ac:dyDescent="0.3">
      <c r="A6" s="203" t="s">
        <v>373</v>
      </c>
      <c r="B6" s="276">
        <f>SUM(B9:B24)</f>
        <v>41708</v>
      </c>
      <c r="C6" s="894">
        <f>SUM(C9:C24)</f>
        <v>34316</v>
      </c>
      <c r="D6" s="1312">
        <f>SUM(D9:D24)</f>
        <v>22685</v>
      </c>
      <c r="E6" s="1316">
        <f>SUM(D6/C6)</f>
        <v>0.66106189532579551</v>
      </c>
    </row>
    <row r="7" spans="1:8" ht="0.75" customHeight="1" x14ac:dyDescent="0.25">
      <c r="A7" s="201"/>
      <c r="B7" s="277"/>
      <c r="C7" s="895"/>
      <c r="D7" s="897"/>
      <c r="E7" s="1316" t="e">
        <f t="shared" ref="E7:E33" si="0">SUM(D7/C7)</f>
        <v>#DIV/0!</v>
      </c>
    </row>
    <row r="8" spans="1:8" ht="0.75" customHeight="1" thickBot="1" x14ac:dyDescent="0.3">
      <c r="A8" s="201"/>
      <c r="B8" s="277"/>
      <c r="C8" s="895"/>
      <c r="D8" s="897"/>
      <c r="E8" s="1316" t="e">
        <f t="shared" si="0"/>
        <v>#DIV/0!</v>
      </c>
    </row>
    <row r="9" spans="1:8" ht="15" customHeight="1" x14ac:dyDescent="0.25">
      <c r="A9" s="1015" t="s">
        <v>374</v>
      </c>
      <c r="B9" s="1016">
        <v>840</v>
      </c>
      <c r="C9" s="1017">
        <v>835</v>
      </c>
      <c r="D9" s="1317">
        <v>620</v>
      </c>
      <c r="E9" s="1316">
        <f t="shared" si="0"/>
        <v>0.74251497005988021</v>
      </c>
    </row>
    <row r="10" spans="1:8" ht="15" customHeight="1" x14ac:dyDescent="0.25">
      <c r="A10" s="1018" t="s">
        <v>375</v>
      </c>
      <c r="B10" s="1019">
        <v>13110</v>
      </c>
      <c r="C10" s="278">
        <v>11800</v>
      </c>
      <c r="D10" s="1318">
        <v>9050</v>
      </c>
      <c r="E10" s="1316">
        <f t="shared" si="0"/>
        <v>0.76694915254237284</v>
      </c>
    </row>
    <row r="11" spans="1:8" ht="15" customHeight="1" x14ac:dyDescent="0.25">
      <c r="A11" s="1018" t="s">
        <v>376</v>
      </c>
      <c r="B11" s="1019">
        <v>1000</v>
      </c>
      <c r="C11" s="278">
        <v>1000</v>
      </c>
      <c r="D11" s="1318">
        <v>1000</v>
      </c>
      <c r="E11" s="1316">
        <f t="shared" si="0"/>
        <v>1</v>
      </c>
      <c r="G11" s="1415"/>
      <c r="H11" s="1415"/>
    </row>
    <row r="12" spans="1:8" ht="15.75" x14ac:dyDescent="0.25">
      <c r="A12" s="1020" t="s">
        <v>379</v>
      </c>
      <c r="B12" s="1019">
        <v>300</v>
      </c>
      <c r="C12" s="278">
        <v>300</v>
      </c>
      <c r="D12" s="1318"/>
      <c r="E12" s="1316">
        <f t="shared" si="0"/>
        <v>0</v>
      </c>
      <c r="G12" s="309"/>
      <c r="H12" s="309"/>
    </row>
    <row r="13" spans="1:8" ht="15" customHeight="1" x14ac:dyDescent="0.25">
      <c r="A13" s="1018" t="s">
        <v>457</v>
      </c>
      <c r="B13" s="1019">
        <v>550</v>
      </c>
      <c r="C13" s="278">
        <v>550</v>
      </c>
      <c r="D13" s="1318">
        <v>531</v>
      </c>
      <c r="E13" s="1316">
        <f t="shared" si="0"/>
        <v>0.96545454545454545</v>
      </c>
    </row>
    <row r="14" spans="1:8" ht="15" customHeight="1" x14ac:dyDescent="0.25">
      <c r="A14" s="1018" t="s">
        <v>29</v>
      </c>
      <c r="B14" s="1019">
        <v>1000</v>
      </c>
      <c r="C14" s="278">
        <v>1400</v>
      </c>
      <c r="D14" s="1318">
        <v>543</v>
      </c>
      <c r="E14" s="1316">
        <f t="shared" si="0"/>
        <v>0.38785714285714284</v>
      </c>
    </row>
    <row r="15" spans="1:8" ht="15" customHeight="1" x14ac:dyDescent="0.25">
      <c r="A15" s="1018" t="s">
        <v>30</v>
      </c>
      <c r="B15" s="1019">
        <v>15673</v>
      </c>
      <c r="C15" s="278">
        <v>8071</v>
      </c>
      <c r="D15" s="1318">
        <v>6053</v>
      </c>
      <c r="E15" s="1316">
        <f t="shared" si="0"/>
        <v>0.74996902490397721</v>
      </c>
    </row>
    <row r="16" spans="1:8" ht="15.75" x14ac:dyDescent="0.25">
      <c r="A16" s="1020" t="s">
        <v>458</v>
      </c>
      <c r="B16" s="1019">
        <v>50</v>
      </c>
      <c r="C16" s="278">
        <v>50</v>
      </c>
      <c r="D16" s="1318">
        <v>50</v>
      </c>
      <c r="E16" s="1316">
        <f t="shared" si="0"/>
        <v>1</v>
      </c>
    </row>
    <row r="17" spans="1:5" ht="15.75" x14ac:dyDescent="0.25">
      <c r="A17" s="1020" t="s">
        <v>133</v>
      </c>
      <c r="B17" s="1019">
        <v>720</v>
      </c>
      <c r="C17" s="278">
        <v>720</v>
      </c>
      <c r="D17" s="1318">
        <v>458</v>
      </c>
      <c r="E17" s="1316">
        <f t="shared" si="0"/>
        <v>0.63611111111111107</v>
      </c>
    </row>
    <row r="18" spans="1:5" ht="15.75" x14ac:dyDescent="0.25">
      <c r="A18" s="1020" t="s">
        <v>222</v>
      </c>
      <c r="B18" s="1019">
        <v>7000</v>
      </c>
      <c r="C18" s="278">
        <v>7000</v>
      </c>
      <c r="D18" s="1318">
        <v>3500</v>
      </c>
      <c r="E18" s="1316">
        <f t="shared" si="0"/>
        <v>0.5</v>
      </c>
    </row>
    <row r="19" spans="1:5" ht="15.75" x14ac:dyDescent="0.25">
      <c r="A19" s="1020" t="s">
        <v>378</v>
      </c>
      <c r="B19" s="1019">
        <v>500</v>
      </c>
      <c r="C19" s="278">
        <v>567</v>
      </c>
      <c r="D19" s="1318">
        <v>225</v>
      </c>
      <c r="E19" s="1316">
        <f t="shared" si="0"/>
        <v>0.3968253968253968</v>
      </c>
    </row>
    <row r="20" spans="1:5" ht="15.75" x14ac:dyDescent="0.25">
      <c r="A20" s="1020" t="s">
        <v>459</v>
      </c>
      <c r="B20" s="1019">
        <v>50</v>
      </c>
      <c r="C20" s="278">
        <v>50</v>
      </c>
      <c r="D20" s="1318">
        <v>50</v>
      </c>
      <c r="E20" s="1316">
        <f t="shared" si="0"/>
        <v>1</v>
      </c>
    </row>
    <row r="21" spans="1:5" ht="31.5" x14ac:dyDescent="0.25">
      <c r="A21" s="1021" t="s">
        <v>590</v>
      </c>
      <c r="B21" s="1019">
        <v>200</v>
      </c>
      <c r="C21" s="278">
        <v>200</v>
      </c>
      <c r="D21" s="1318">
        <v>200</v>
      </c>
      <c r="E21" s="1316">
        <f t="shared" si="0"/>
        <v>1</v>
      </c>
    </row>
    <row r="22" spans="1:5" ht="15.75" x14ac:dyDescent="0.25">
      <c r="A22" s="1021" t="s">
        <v>589</v>
      </c>
      <c r="B22" s="1019">
        <v>250</v>
      </c>
      <c r="C22" s="278">
        <v>250</v>
      </c>
      <c r="D22" s="1318">
        <v>325</v>
      </c>
      <c r="E22" s="1316">
        <f t="shared" si="0"/>
        <v>1.3</v>
      </c>
    </row>
    <row r="23" spans="1:5" ht="15.75" x14ac:dyDescent="0.25">
      <c r="A23" s="1021" t="s">
        <v>607</v>
      </c>
      <c r="B23" s="1019">
        <v>80</v>
      </c>
      <c r="C23" s="278">
        <v>1443</v>
      </c>
      <c r="D23" s="1318"/>
      <c r="E23" s="1316">
        <f t="shared" si="0"/>
        <v>0</v>
      </c>
    </row>
    <row r="24" spans="1:5" ht="16.5" thickBot="1" x14ac:dyDescent="0.3">
      <c r="A24" s="1022" t="s">
        <v>617</v>
      </c>
      <c r="B24" s="1023">
        <v>385</v>
      </c>
      <c r="C24" s="965">
        <v>80</v>
      </c>
      <c r="D24" s="1319">
        <v>80</v>
      </c>
      <c r="E24" s="1316">
        <f t="shared" si="0"/>
        <v>1</v>
      </c>
    </row>
    <row r="25" spans="1:5" ht="16.5" thickBot="1" x14ac:dyDescent="0.3">
      <c r="A25" s="1025" t="s">
        <v>377</v>
      </c>
      <c r="B25" s="1026">
        <f>SUM(B26:B31)</f>
        <v>169055</v>
      </c>
      <c r="C25" s="896">
        <f>SUM(C26:C31)</f>
        <v>9604</v>
      </c>
      <c r="D25" s="1320">
        <f>SUM(D26:D31)</f>
        <v>9604</v>
      </c>
      <c r="E25" s="1316">
        <f t="shared" si="0"/>
        <v>1</v>
      </c>
    </row>
    <row r="26" spans="1:5" ht="15" customHeight="1" x14ac:dyDescent="0.25">
      <c r="A26" s="1027" t="s">
        <v>591</v>
      </c>
      <c r="B26" s="1028">
        <v>12700</v>
      </c>
      <c r="C26" s="1029">
        <v>875</v>
      </c>
      <c r="D26" s="1384">
        <v>875</v>
      </c>
      <c r="E26" s="1316">
        <f t="shared" si="0"/>
        <v>1</v>
      </c>
    </row>
    <row r="27" spans="1:5" ht="15.75" x14ac:dyDescent="0.25">
      <c r="A27" s="1074" t="s">
        <v>592</v>
      </c>
      <c r="B27" s="1075">
        <v>155000</v>
      </c>
      <c r="C27" s="1076">
        <v>1000</v>
      </c>
      <c r="D27" s="1270">
        <v>1000</v>
      </c>
      <c r="E27" s="1316">
        <f t="shared" si="0"/>
        <v>1</v>
      </c>
    </row>
    <row r="28" spans="1:5" ht="15.75" x14ac:dyDescent="0.25">
      <c r="A28" s="1101" t="s">
        <v>488</v>
      </c>
      <c r="B28" s="1102">
        <v>1355</v>
      </c>
      <c r="C28" s="1103">
        <v>2320</v>
      </c>
      <c r="D28" s="1315">
        <v>2320</v>
      </c>
      <c r="E28" s="1316">
        <f t="shared" si="0"/>
        <v>1</v>
      </c>
    </row>
    <row r="29" spans="1:5" ht="15.75" x14ac:dyDescent="0.25">
      <c r="A29" s="1106"/>
      <c r="B29" s="1104"/>
      <c r="C29" s="1105">
        <v>4191</v>
      </c>
      <c r="D29" s="1385">
        <v>4191</v>
      </c>
      <c r="E29" s="1316">
        <f t="shared" si="0"/>
        <v>1</v>
      </c>
    </row>
    <row r="30" spans="1:5" ht="15.75" x14ac:dyDescent="0.25">
      <c r="A30" s="1106"/>
      <c r="B30" s="1104"/>
      <c r="C30" s="1105">
        <v>142</v>
      </c>
      <c r="D30" s="1385">
        <v>142</v>
      </c>
      <c r="E30" s="1316">
        <f t="shared" si="0"/>
        <v>1</v>
      </c>
    </row>
    <row r="31" spans="1:5" ht="16.5" thickBot="1" x14ac:dyDescent="0.3">
      <c r="A31" s="1107"/>
      <c r="B31" s="1077"/>
      <c r="C31" s="1078">
        <v>1076</v>
      </c>
      <c r="D31" s="1386">
        <v>1076</v>
      </c>
      <c r="E31" s="1316">
        <f t="shared" si="0"/>
        <v>1</v>
      </c>
    </row>
    <row r="32" spans="1:5" ht="16.5" thickBot="1" x14ac:dyDescent="0.3">
      <c r="A32" s="1086" t="s">
        <v>487</v>
      </c>
      <c r="B32" s="1085"/>
      <c r="C32" s="1089">
        <f>SUM(C33)</f>
        <v>342</v>
      </c>
      <c r="D32" s="1313">
        <f>SUM(D33)</f>
        <v>342</v>
      </c>
      <c r="E32" s="1316">
        <f t="shared" si="0"/>
        <v>1</v>
      </c>
    </row>
    <row r="33" spans="1:5" ht="16.5" thickBot="1" x14ac:dyDescent="0.3">
      <c r="A33" s="1087"/>
      <c r="B33" s="1084"/>
      <c r="C33" s="1088">
        <v>342</v>
      </c>
      <c r="D33" s="1383">
        <v>342</v>
      </c>
      <c r="E33" s="1316">
        <f t="shared" si="0"/>
        <v>1</v>
      </c>
    </row>
    <row r="34" spans="1:5" ht="15.75" x14ac:dyDescent="0.25">
      <c r="B34" s="13"/>
      <c r="E34" s="4"/>
    </row>
    <row r="35" spans="1:5" ht="15.75" x14ac:dyDescent="0.25">
      <c r="B35" s="13"/>
    </row>
    <row r="36" spans="1:5" ht="15.75" x14ac:dyDescent="0.25">
      <c r="B36" s="13"/>
    </row>
    <row r="37" spans="1:5" ht="15.75" x14ac:dyDescent="0.25">
      <c r="B37" s="13"/>
    </row>
    <row r="38" spans="1:5" ht="15.75" x14ac:dyDescent="0.25">
      <c r="B38" s="13"/>
    </row>
    <row r="39" spans="1:5" ht="15.75" x14ac:dyDescent="0.25">
      <c r="B39" s="13"/>
    </row>
    <row r="40" spans="1:5" ht="15.75" x14ac:dyDescent="0.25">
      <c r="B40" s="13"/>
    </row>
    <row r="41" spans="1:5" ht="15.75" x14ac:dyDescent="0.25">
      <c r="B41" s="13"/>
    </row>
    <row r="42" spans="1:5" ht="15.75" x14ac:dyDescent="0.25">
      <c r="B42" s="13"/>
    </row>
    <row r="43" spans="1:5" ht="15.75" x14ac:dyDescent="0.25">
      <c r="B43" s="13"/>
    </row>
    <row r="44" spans="1:5" ht="15.75" x14ac:dyDescent="0.25">
      <c r="B44" s="13"/>
    </row>
    <row r="45" spans="1:5" ht="15.75" x14ac:dyDescent="0.25">
      <c r="B45" s="13"/>
    </row>
    <row r="46" spans="1:5" ht="15.75" x14ac:dyDescent="0.25">
      <c r="B46" s="13"/>
    </row>
    <row r="47" spans="1:5" ht="15.75" x14ac:dyDescent="0.25">
      <c r="B47" s="13"/>
    </row>
    <row r="48" spans="1:5" ht="15.75" x14ac:dyDescent="0.25">
      <c r="B48" s="13"/>
    </row>
    <row r="49" spans="2:2" ht="15.75" x14ac:dyDescent="0.25">
      <c r="B49" s="13"/>
    </row>
    <row r="50" spans="2:2" ht="15.75" x14ac:dyDescent="0.25">
      <c r="B50" s="13"/>
    </row>
    <row r="51" spans="2:2" ht="15.75" x14ac:dyDescent="0.25">
      <c r="B51" s="13"/>
    </row>
    <row r="52" spans="2:2" ht="15.75" x14ac:dyDescent="0.25">
      <c r="B52" s="13"/>
    </row>
    <row r="53" spans="2:2" ht="15.75" x14ac:dyDescent="0.25">
      <c r="B53" s="13"/>
    </row>
    <row r="54" spans="2:2" ht="15.75" x14ac:dyDescent="0.25">
      <c r="B54" s="13"/>
    </row>
    <row r="55" spans="2:2" ht="15.75" x14ac:dyDescent="0.25">
      <c r="B55" s="13"/>
    </row>
    <row r="56" spans="2:2" ht="15.75" x14ac:dyDescent="0.25">
      <c r="B56" s="13"/>
    </row>
    <row r="57" spans="2:2" ht="15.75" x14ac:dyDescent="0.25">
      <c r="B57" s="13"/>
    </row>
    <row r="58" spans="2:2" ht="15.75" x14ac:dyDescent="0.25">
      <c r="B58" s="13"/>
    </row>
    <row r="59" spans="2:2" ht="15.75" x14ac:dyDescent="0.25">
      <c r="B59" s="13"/>
    </row>
    <row r="60" spans="2:2" ht="15.75" x14ac:dyDescent="0.25">
      <c r="B60" s="13"/>
    </row>
    <row r="61" spans="2:2" ht="15.75" x14ac:dyDescent="0.25">
      <c r="B61" s="13"/>
    </row>
    <row r="62" spans="2:2" ht="15.75" x14ac:dyDescent="0.25">
      <c r="B62" s="13"/>
    </row>
    <row r="63" spans="2:2" ht="15.75" x14ac:dyDescent="0.25">
      <c r="B63" s="13"/>
    </row>
    <row r="64" spans="2:2" ht="15.75" x14ac:dyDescent="0.25">
      <c r="B64" s="13"/>
    </row>
    <row r="65" spans="2:2" ht="15.75" x14ac:dyDescent="0.25">
      <c r="B65" s="13"/>
    </row>
    <row r="66" spans="2:2" ht="15.75" x14ac:dyDescent="0.25">
      <c r="B66" s="13"/>
    </row>
    <row r="67" spans="2:2" ht="15.75" x14ac:dyDescent="0.25">
      <c r="B67" s="13"/>
    </row>
    <row r="68" spans="2:2" ht="15.75" x14ac:dyDescent="0.25">
      <c r="B68" s="13"/>
    </row>
    <row r="69" spans="2:2" ht="15.75" x14ac:dyDescent="0.25">
      <c r="B69" s="13"/>
    </row>
    <row r="70" spans="2:2" ht="15.75" x14ac:dyDescent="0.25">
      <c r="B70" s="13"/>
    </row>
    <row r="71" spans="2:2" ht="15.75" x14ac:dyDescent="0.25">
      <c r="B71" s="13"/>
    </row>
    <row r="72" spans="2:2" ht="15.75" x14ac:dyDescent="0.25">
      <c r="B72" s="13"/>
    </row>
    <row r="73" spans="2:2" ht="15.75" x14ac:dyDescent="0.25">
      <c r="B73" s="13"/>
    </row>
    <row r="74" spans="2:2" ht="15.75" x14ac:dyDescent="0.25">
      <c r="B74" s="13"/>
    </row>
    <row r="75" spans="2:2" ht="15.75" x14ac:dyDescent="0.25">
      <c r="B75" s="13"/>
    </row>
    <row r="76" spans="2:2" ht="15.75" x14ac:dyDescent="0.25">
      <c r="B76" s="13"/>
    </row>
    <row r="77" spans="2:2" ht="15.75" x14ac:dyDescent="0.25">
      <c r="B77" s="13"/>
    </row>
    <row r="78" spans="2:2" ht="15.75" x14ac:dyDescent="0.25">
      <c r="B78" s="13"/>
    </row>
    <row r="79" spans="2:2" ht="15.75" x14ac:dyDescent="0.25">
      <c r="B79" s="13"/>
    </row>
    <row r="80" spans="2:2" ht="15.75" x14ac:dyDescent="0.25">
      <c r="B80" s="13"/>
    </row>
    <row r="81" spans="2:2" ht="15.75" x14ac:dyDescent="0.25">
      <c r="B81" s="13"/>
    </row>
    <row r="82" spans="2:2" ht="15.75" x14ac:dyDescent="0.25">
      <c r="B82" s="13"/>
    </row>
    <row r="83" spans="2:2" ht="15.75" x14ac:dyDescent="0.25">
      <c r="B83" s="13"/>
    </row>
    <row r="84" spans="2:2" ht="15.75" x14ac:dyDescent="0.25">
      <c r="B84" s="13"/>
    </row>
    <row r="85" spans="2:2" ht="15.75" x14ac:dyDescent="0.25">
      <c r="B85" s="13"/>
    </row>
    <row r="86" spans="2:2" ht="15.75" x14ac:dyDescent="0.25">
      <c r="B86" s="13"/>
    </row>
    <row r="87" spans="2:2" ht="15.75" x14ac:dyDescent="0.25">
      <c r="B87" s="13"/>
    </row>
    <row r="88" spans="2:2" ht="15.75" x14ac:dyDescent="0.25">
      <c r="B88" s="13"/>
    </row>
    <row r="89" spans="2:2" ht="15.75" x14ac:dyDescent="0.25">
      <c r="B89" s="13"/>
    </row>
    <row r="90" spans="2:2" ht="15.75" x14ac:dyDescent="0.25">
      <c r="B90" s="13"/>
    </row>
    <row r="91" spans="2:2" ht="15.75" x14ac:dyDescent="0.25">
      <c r="B91" s="13"/>
    </row>
    <row r="92" spans="2:2" ht="15.75" x14ac:dyDescent="0.25">
      <c r="B92" s="13"/>
    </row>
    <row r="93" spans="2:2" ht="15.75" x14ac:dyDescent="0.25">
      <c r="B93" s="13"/>
    </row>
    <row r="94" spans="2:2" ht="15.75" x14ac:dyDescent="0.25">
      <c r="B94" s="13"/>
    </row>
    <row r="95" spans="2:2" ht="15.75" x14ac:dyDescent="0.25">
      <c r="B95" s="13"/>
    </row>
    <row r="96" spans="2:2" ht="15.75" x14ac:dyDescent="0.25">
      <c r="B96" s="13"/>
    </row>
    <row r="97" spans="2:2" ht="15.75" x14ac:dyDescent="0.25">
      <c r="B97" s="13"/>
    </row>
    <row r="98" spans="2:2" ht="15.75" x14ac:dyDescent="0.25">
      <c r="B98" s="13"/>
    </row>
    <row r="99" spans="2:2" ht="15.75" x14ac:dyDescent="0.25">
      <c r="B99" s="13"/>
    </row>
    <row r="100" spans="2:2" ht="15.75" x14ac:dyDescent="0.25">
      <c r="B100" s="13"/>
    </row>
    <row r="101" spans="2:2" ht="15.75" x14ac:dyDescent="0.25">
      <c r="B101" s="13"/>
    </row>
    <row r="102" spans="2:2" ht="15.75" x14ac:dyDescent="0.25">
      <c r="B102" s="13"/>
    </row>
    <row r="103" spans="2:2" ht="15.75" x14ac:dyDescent="0.25">
      <c r="B103" s="13"/>
    </row>
    <row r="104" spans="2:2" ht="15.75" x14ac:dyDescent="0.25">
      <c r="B104" s="13"/>
    </row>
    <row r="105" spans="2:2" ht="15.75" x14ac:dyDescent="0.25">
      <c r="B105" s="13"/>
    </row>
    <row r="106" spans="2:2" ht="15.75" x14ac:dyDescent="0.25">
      <c r="B106" s="13"/>
    </row>
    <row r="107" spans="2:2" ht="15.75" x14ac:dyDescent="0.25">
      <c r="B107" s="13"/>
    </row>
    <row r="108" spans="2:2" ht="15.75" x14ac:dyDescent="0.25">
      <c r="B108" s="13"/>
    </row>
    <row r="109" spans="2:2" ht="15.75" x14ac:dyDescent="0.25">
      <c r="B109" s="13"/>
    </row>
    <row r="110" spans="2:2" ht="15.75" x14ac:dyDescent="0.25">
      <c r="B110" s="13"/>
    </row>
    <row r="111" spans="2:2" ht="15.75" x14ac:dyDescent="0.25">
      <c r="B111" s="13"/>
    </row>
    <row r="112" spans="2:2" ht="15.75" x14ac:dyDescent="0.25">
      <c r="B112" s="13"/>
    </row>
    <row r="113" spans="2:2" ht="15.75" x14ac:dyDescent="0.25">
      <c r="B113" s="13"/>
    </row>
    <row r="114" spans="2:2" ht="15.75" x14ac:dyDescent="0.25">
      <c r="B114" s="13"/>
    </row>
    <row r="115" spans="2:2" ht="15.75" x14ac:dyDescent="0.25">
      <c r="B115" s="13"/>
    </row>
    <row r="116" spans="2:2" ht="15.75" x14ac:dyDescent="0.25">
      <c r="B116" s="13"/>
    </row>
    <row r="117" spans="2:2" ht="15.75" x14ac:dyDescent="0.25">
      <c r="B117" s="13"/>
    </row>
    <row r="118" spans="2:2" ht="15.75" x14ac:dyDescent="0.25">
      <c r="B118" s="13"/>
    </row>
    <row r="119" spans="2:2" ht="15.75" x14ac:dyDescent="0.25">
      <c r="B119" s="13"/>
    </row>
    <row r="120" spans="2:2" ht="15.75" x14ac:dyDescent="0.25">
      <c r="B120" s="13"/>
    </row>
    <row r="121" spans="2:2" ht="15.75" x14ac:dyDescent="0.25">
      <c r="B121" s="13"/>
    </row>
    <row r="122" spans="2:2" ht="15.75" x14ac:dyDescent="0.25">
      <c r="B122" s="13"/>
    </row>
    <row r="123" spans="2:2" ht="15.75" x14ac:dyDescent="0.25">
      <c r="B123" s="13"/>
    </row>
    <row r="124" spans="2:2" ht="15.75" x14ac:dyDescent="0.25">
      <c r="B124" s="13"/>
    </row>
    <row r="125" spans="2:2" ht="15.75" x14ac:dyDescent="0.25">
      <c r="B125" s="13"/>
    </row>
    <row r="126" spans="2:2" ht="15.75" x14ac:dyDescent="0.25">
      <c r="B126" s="13"/>
    </row>
    <row r="127" spans="2:2" ht="15.75" x14ac:dyDescent="0.25">
      <c r="B127" s="13"/>
    </row>
    <row r="128" spans="2:2" ht="15.75" x14ac:dyDescent="0.25">
      <c r="B128" s="13"/>
    </row>
    <row r="129" spans="2:2" ht="15.75" x14ac:dyDescent="0.25">
      <c r="B129" s="13"/>
    </row>
    <row r="130" spans="2:2" ht="15.75" x14ac:dyDescent="0.25">
      <c r="B130" s="13"/>
    </row>
    <row r="131" spans="2:2" ht="15.75" x14ac:dyDescent="0.25">
      <c r="B131" s="13"/>
    </row>
    <row r="132" spans="2:2" ht="15.75" x14ac:dyDescent="0.25">
      <c r="B132" s="13"/>
    </row>
    <row r="133" spans="2:2" ht="15.75" x14ac:dyDescent="0.25">
      <c r="B133" s="13"/>
    </row>
    <row r="134" spans="2:2" ht="15.75" x14ac:dyDescent="0.25">
      <c r="B134" s="13"/>
    </row>
    <row r="135" spans="2:2" ht="15.75" x14ac:dyDescent="0.25">
      <c r="B135" s="13"/>
    </row>
    <row r="136" spans="2:2" ht="15.75" x14ac:dyDescent="0.25">
      <c r="B136" s="13"/>
    </row>
    <row r="137" spans="2:2" ht="15.75" x14ac:dyDescent="0.25">
      <c r="B137" s="13"/>
    </row>
    <row r="138" spans="2:2" ht="15.75" x14ac:dyDescent="0.25">
      <c r="B138" s="13"/>
    </row>
    <row r="139" spans="2:2" ht="15.75" x14ac:dyDescent="0.25">
      <c r="B139" s="13"/>
    </row>
    <row r="140" spans="2:2" ht="15.75" x14ac:dyDescent="0.25">
      <c r="B140" s="13"/>
    </row>
    <row r="141" spans="2:2" ht="15.75" x14ac:dyDescent="0.25">
      <c r="B141" s="13"/>
    </row>
    <row r="142" spans="2:2" ht="15.75" x14ac:dyDescent="0.25">
      <c r="B142" s="13"/>
    </row>
    <row r="143" spans="2:2" ht="15.75" x14ac:dyDescent="0.25">
      <c r="B143" s="13"/>
    </row>
    <row r="144" spans="2:2" ht="15.75" x14ac:dyDescent="0.25">
      <c r="B144" s="13"/>
    </row>
    <row r="145" spans="2:2" ht="15.75" x14ac:dyDescent="0.25">
      <c r="B145" s="13"/>
    </row>
    <row r="146" spans="2:2" ht="15.75" x14ac:dyDescent="0.25">
      <c r="B146" s="13"/>
    </row>
    <row r="147" spans="2:2" ht="15.75" x14ac:dyDescent="0.25">
      <c r="B147" s="13"/>
    </row>
    <row r="148" spans="2:2" ht="15.75" x14ac:dyDescent="0.25">
      <c r="B148" s="13"/>
    </row>
    <row r="149" spans="2:2" ht="15.75" x14ac:dyDescent="0.25">
      <c r="B149" s="13"/>
    </row>
    <row r="150" spans="2:2" ht="15.75" x14ac:dyDescent="0.25">
      <c r="B150" s="13"/>
    </row>
    <row r="151" spans="2:2" ht="15.75" x14ac:dyDescent="0.25">
      <c r="B151" s="13"/>
    </row>
    <row r="152" spans="2:2" ht="15.75" x14ac:dyDescent="0.25">
      <c r="B152" s="13"/>
    </row>
    <row r="153" spans="2:2" ht="15.75" x14ac:dyDescent="0.25">
      <c r="B153" s="13"/>
    </row>
    <row r="154" spans="2:2" ht="15.75" x14ac:dyDescent="0.25">
      <c r="B154" s="13"/>
    </row>
    <row r="155" spans="2:2" ht="15.75" x14ac:dyDescent="0.25">
      <c r="B155" s="13"/>
    </row>
    <row r="156" spans="2:2" ht="15.75" x14ac:dyDescent="0.25">
      <c r="B156" s="13"/>
    </row>
    <row r="157" spans="2:2" ht="15.75" x14ac:dyDescent="0.25">
      <c r="B157" s="13"/>
    </row>
    <row r="158" spans="2:2" ht="15.75" x14ac:dyDescent="0.25">
      <c r="B158" s="13"/>
    </row>
    <row r="159" spans="2:2" ht="15.75" x14ac:dyDescent="0.25">
      <c r="B159" s="13"/>
    </row>
    <row r="160" spans="2:2" ht="15.75" x14ac:dyDescent="0.25">
      <c r="B160" s="13"/>
    </row>
    <row r="161" spans="2:2" ht="15.75" x14ac:dyDescent="0.25">
      <c r="B161" s="13"/>
    </row>
    <row r="162" spans="2:2" ht="15.75" x14ac:dyDescent="0.25">
      <c r="B162" s="13"/>
    </row>
    <row r="163" spans="2:2" ht="15.75" x14ac:dyDescent="0.25">
      <c r="B163" s="13"/>
    </row>
    <row r="164" spans="2:2" ht="15.75" x14ac:dyDescent="0.25">
      <c r="B164" s="13"/>
    </row>
    <row r="165" spans="2:2" ht="15.75" x14ac:dyDescent="0.25">
      <c r="B165" s="13"/>
    </row>
    <row r="166" spans="2:2" ht="15.75" x14ac:dyDescent="0.25">
      <c r="B166" s="13"/>
    </row>
    <row r="167" spans="2:2" ht="15.75" x14ac:dyDescent="0.25">
      <c r="B167" s="13"/>
    </row>
    <row r="168" spans="2:2" ht="15.75" x14ac:dyDescent="0.25">
      <c r="B168" s="13"/>
    </row>
    <row r="169" spans="2:2" ht="15.75" x14ac:dyDescent="0.25">
      <c r="B169" s="13"/>
    </row>
    <row r="170" spans="2:2" ht="15.75" x14ac:dyDescent="0.25">
      <c r="B170" s="13"/>
    </row>
    <row r="171" spans="2:2" ht="15.75" x14ac:dyDescent="0.25">
      <c r="B171" s="13"/>
    </row>
    <row r="172" spans="2:2" ht="15.75" x14ac:dyDescent="0.25">
      <c r="B172" s="13"/>
    </row>
    <row r="173" spans="2:2" ht="15.75" x14ac:dyDescent="0.25">
      <c r="B173" s="13"/>
    </row>
    <row r="174" spans="2:2" ht="15.75" x14ac:dyDescent="0.25">
      <c r="B174" s="13"/>
    </row>
    <row r="175" spans="2:2" ht="15.75" x14ac:dyDescent="0.25">
      <c r="B175" s="13"/>
    </row>
    <row r="176" spans="2:2" ht="15.75" x14ac:dyDescent="0.25">
      <c r="B176" s="13"/>
    </row>
    <row r="177" spans="2:2" ht="15.75" x14ac:dyDescent="0.25">
      <c r="B177" s="13"/>
    </row>
    <row r="178" spans="2:2" ht="15.75" x14ac:dyDescent="0.25">
      <c r="B178" s="13"/>
    </row>
    <row r="179" spans="2:2" ht="15.75" x14ac:dyDescent="0.25">
      <c r="B179" s="13"/>
    </row>
    <row r="180" spans="2:2" ht="15.75" x14ac:dyDescent="0.25">
      <c r="B180" s="13"/>
    </row>
    <row r="181" spans="2:2" ht="15.75" x14ac:dyDescent="0.25">
      <c r="B181" s="13"/>
    </row>
    <row r="182" spans="2:2" ht="15.75" x14ac:dyDescent="0.25">
      <c r="B182" s="13"/>
    </row>
    <row r="183" spans="2:2" ht="15.75" x14ac:dyDescent="0.25">
      <c r="B183" s="13"/>
    </row>
    <row r="184" spans="2:2" ht="15.75" x14ac:dyDescent="0.25">
      <c r="B184" s="13"/>
    </row>
    <row r="185" spans="2:2" ht="15.75" x14ac:dyDescent="0.25">
      <c r="B185" s="13"/>
    </row>
    <row r="186" spans="2:2" ht="15.75" x14ac:dyDescent="0.25">
      <c r="B186" s="13"/>
    </row>
    <row r="187" spans="2:2" ht="15.75" x14ac:dyDescent="0.25">
      <c r="B187" s="13"/>
    </row>
    <row r="188" spans="2:2" ht="15.75" x14ac:dyDescent="0.25">
      <c r="B188" s="13"/>
    </row>
    <row r="189" spans="2:2" ht="15.75" x14ac:dyDescent="0.25">
      <c r="B189" s="13"/>
    </row>
    <row r="190" spans="2:2" ht="15.75" x14ac:dyDescent="0.25">
      <c r="B190" s="13"/>
    </row>
    <row r="191" spans="2:2" ht="15.75" x14ac:dyDescent="0.25">
      <c r="B191" s="13"/>
    </row>
    <row r="192" spans="2:2" ht="15.75" x14ac:dyDescent="0.25">
      <c r="B192" s="13"/>
    </row>
    <row r="193" spans="2:2" ht="15.75" x14ac:dyDescent="0.25">
      <c r="B193" s="13"/>
    </row>
    <row r="194" spans="2:2" ht="15.75" x14ac:dyDescent="0.25">
      <c r="B194" s="13"/>
    </row>
    <row r="195" spans="2:2" ht="15.75" x14ac:dyDescent="0.25">
      <c r="B195" s="13"/>
    </row>
    <row r="196" spans="2:2" ht="15.75" x14ac:dyDescent="0.25">
      <c r="B196" s="13"/>
    </row>
    <row r="197" spans="2:2" ht="15.75" x14ac:dyDescent="0.25">
      <c r="B197" s="13"/>
    </row>
    <row r="198" spans="2:2" ht="15.75" x14ac:dyDescent="0.25">
      <c r="B198" s="13"/>
    </row>
    <row r="199" spans="2:2" ht="15.75" x14ac:dyDescent="0.25">
      <c r="B199" s="13"/>
    </row>
    <row r="200" spans="2:2" ht="15.75" x14ac:dyDescent="0.25">
      <c r="B200" s="13"/>
    </row>
    <row r="201" spans="2:2" ht="15.75" x14ac:dyDescent="0.25">
      <c r="B201" s="13"/>
    </row>
    <row r="202" spans="2:2" ht="15.75" x14ac:dyDescent="0.25">
      <c r="B202" s="13"/>
    </row>
    <row r="203" spans="2:2" ht="15.75" x14ac:dyDescent="0.25">
      <c r="B203" s="13"/>
    </row>
    <row r="204" spans="2:2" ht="15.75" x14ac:dyDescent="0.25">
      <c r="B204" s="13"/>
    </row>
    <row r="205" spans="2:2" ht="15.75" x14ac:dyDescent="0.25">
      <c r="B205" s="13"/>
    </row>
    <row r="206" spans="2:2" ht="15.75" x14ac:dyDescent="0.25">
      <c r="B206" s="13"/>
    </row>
    <row r="207" spans="2:2" ht="15.75" x14ac:dyDescent="0.25">
      <c r="B207" s="13"/>
    </row>
    <row r="208" spans="2:2" ht="15.75" x14ac:dyDescent="0.25">
      <c r="B208" s="13"/>
    </row>
    <row r="209" spans="2:2" ht="15.75" x14ac:dyDescent="0.25">
      <c r="B209" s="13"/>
    </row>
    <row r="210" spans="2:2" ht="15.75" x14ac:dyDescent="0.25">
      <c r="B210" s="13"/>
    </row>
    <row r="211" spans="2:2" ht="15.75" x14ac:dyDescent="0.25">
      <c r="B211" s="13"/>
    </row>
    <row r="212" spans="2:2" ht="15.75" x14ac:dyDescent="0.25">
      <c r="B212" s="13"/>
    </row>
    <row r="213" spans="2:2" ht="15.75" x14ac:dyDescent="0.25">
      <c r="B213" s="13"/>
    </row>
    <row r="214" spans="2:2" ht="15.75" x14ac:dyDescent="0.25">
      <c r="B214" s="13"/>
    </row>
    <row r="215" spans="2:2" ht="15.75" x14ac:dyDescent="0.25">
      <c r="B215" s="13"/>
    </row>
    <row r="216" spans="2:2" ht="15.75" x14ac:dyDescent="0.25">
      <c r="B216" s="13"/>
    </row>
    <row r="217" spans="2:2" ht="15.75" x14ac:dyDescent="0.25">
      <c r="B217" s="13"/>
    </row>
    <row r="218" spans="2:2" ht="15.75" x14ac:dyDescent="0.25">
      <c r="B218" s="13"/>
    </row>
    <row r="219" spans="2:2" ht="15.75" x14ac:dyDescent="0.25">
      <c r="B219" s="13"/>
    </row>
    <row r="220" spans="2:2" ht="15.75" x14ac:dyDescent="0.25">
      <c r="B220" s="13"/>
    </row>
    <row r="221" spans="2:2" ht="15.75" x14ac:dyDescent="0.25">
      <c r="B221" s="13"/>
    </row>
    <row r="222" spans="2:2" ht="15.75" x14ac:dyDescent="0.25">
      <c r="B222" s="13"/>
    </row>
    <row r="223" spans="2:2" ht="15.75" x14ac:dyDescent="0.25">
      <c r="B223" s="13"/>
    </row>
    <row r="224" spans="2:2" ht="15.75" x14ac:dyDescent="0.25">
      <c r="B224" s="13"/>
    </row>
    <row r="225" spans="2:2" ht="15.75" x14ac:dyDescent="0.25">
      <c r="B225" s="13"/>
    </row>
    <row r="226" spans="2:2" ht="15.75" x14ac:dyDescent="0.25">
      <c r="B226" s="13"/>
    </row>
    <row r="227" spans="2:2" ht="15.75" x14ac:dyDescent="0.25">
      <c r="B227" s="13"/>
    </row>
    <row r="228" spans="2:2" ht="15.75" x14ac:dyDescent="0.25">
      <c r="B228" s="13"/>
    </row>
    <row r="229" spans="2:2" ht="15.75" x14ac:dyDescent="0.25">
      <c r="B229" s="13"/>
    </row>
    <row r="230" spans="2:2" ht="15.75" x14ac:dyDescent="0.25">
      <c r="B230" s="13"/>
    </row>
    <row r="231" spans="2:2" ht="15.75" x14ac:dyDescent="0.25">
      <c r="B231" s="13"/>
    </row>
    <row r="232" spans="2:2" ht="15.75" x14ac:dyDescent="0.25">
      <c r="B232" s="13"/>
    </row>
    <row r="233" spans="2:2" ht="15.75" x14ac:dyDescent="0.25">
      <c r="B233" s="13"/>
    </row>
    <row r="234" spans="2:2" ht="15.75" x14ac:dyDescent="0.25">
      <c r="B234" s="13"/>
    </row>
    <row r="235" spans="2:2" ht="15.75" x14ac:dyDescent="0.25">
      <c r="B235" s="13"/>
    </row>
    <row r="236" spans="2:2" ht="15.75" x14ac:dyDescent="0.25">
      <c r="B236" s="13"/>
    </row>
    <row r="237" spans="2:2" ht="15.75" x14ac:dyDescent="0.25">
      <c r="B237" s="13"/>
    </row>
    <row r="238" spans="2:2" ht="15.75" x14ac:dyDescent="0.25">
      <c r="B238" s="13"/>
    </row>
    <row r="239" spans="2:2" ht="15.75" x14ac:dyDescent="0.25">
      <c r="B239" s="13"/>
    </row>
    <row r="240" spans="2:2" ht="15.75" x14ac:dyDescent="0.25">
      <c r="B240" s="13"/>
    </row>
    <row r="241" spans="2:2" ht="15.75" x14ac:dyDescent="0.25">
      <c r="B241" s="13"/>
    </row>
    <row r="242" spans="2:2" ht="15.75" x14ac:dyDescent="0.25">
      <c r="B242" s="13"/>
    </row>
    <row r="243" spans="2:2" ht="15.75" x14ac:dyDescent="0.25">
      <c r="B243" s="13"/>
    </row>
    <row r="244" spans="2:2" ht="15.75" x14ac:dyDescent="0.25">
      <c r="B244" s="13"/>
    </row>
    <row r="245" spans="2:2" ht="15.75" x14ac:dyDescent="0.25">
      <c r="B245" s="13"/>
    </row>
    <row r="246" spans="2:2" ht="15.75" x14ac:dyDescent="0.25">
      <c r="B246" s="13"/>
    </row>
    <row r="247" spans="2:2" ht="15.75" x14ac:dyDescent="0.25">
      <c r="B247" s="13"/>
    </row>
    <row r="248" spans="2:2" ht="15.75" x14ac:dyDescent="0.25">
      <c r="B248" s="13"/>
    </row>
    <row r="249" spans="2:2" ht="15.75" x14ac:dyDescent="0.25">
      <c r="B249" s="13"/>
    </row>
    <row r="250" spans="2:2" ht="15.75" x14ac:dyDescent="0.25">
      <c r="B250" s="13"/>
    </row>
    <row r="251" spans="2:2" ht="15.75" x14ac:dyDescent="0.25">
      <c r="B251" s="13"/>
    </row>
    <row r="252" spans="2:2" ht="15.75" x14ac:dyDescent="0.25">
      <c r="B252" s="13"/>
    </row>
    <row r="253" spans="2:2" ht="15.75" x14ac:dyDescent="0.25">
      <c r="B253" s="13"/>
    </row>
    <row r="254" spans="2:2" ht="15.75" x14ac:dyDescent="0.25">
      <c r="B254" s="13"/>
    </row>
    <row r="255" spans="2:2" ht="15.75" x14ac:dyDescent="0.25">
      <c r="B255" s="13"/>
    </row>
    <row r="256" spans="2:2" ht="15.75" x14ac:dyDescent="0.25">
      <c r="B256" s="13"/>
    </row>
    <row r="257" spans="2:2" ht="15.75" x14ac:dyDescent="0.25">
      <c r="B257" s="13"/>
    </row>
    <row r="258" spans="2:2" ht="15.75" x14ac:dyDescent="0.25">
      <c r="B258" s="13"/>
    </row>
    <row r="259" spans="2:2" ht="15.75" x14ac:dyDescent="0.25">
      <c r="B259" s="13"/>
    </row>
    <row r="260" spans="2:2" ht="15.75" x14ac:dyDescent="0.25">
      <c r="B260" s="13"/>
    </row>
    <row r="261" spans="2:2" ht="15.75" x14ac:dyDescent="0.25">
      <c r="B261" s="13"/>
    </row>
    <row r="262" spans="2:2" ht="15.75" x14ac:dyDescent="0.25">
      <c r="B262" s="13"/>
    </row>
    <row r="263" spans="2:2" ht="15.75" x14ac:dyDescent="0.25">
      <c r="B263" s="13"/>
    </row>
    <row r="264" spans="2:2" ht="15.75" x14ac:dyDescent="0.25">
      <c r="B264" s="13"/>
    </row>
    <row r="265" spans="2:2" ht="15.75" x14ac:dyDescent="0.25">
      <c r="B265" s="13"/>
    </row>
    <row r="266" spans="2:2" ht="15.75" x14ac:dyDescent="0.25">
      <c r="B266" s="13"/>
    </row>
    <row r="267" spans="2:2" ht="15.75" x14ac:dyDescent="0.25">
      <c r="B267" s="13"/>
    </row>
    <row r="268" spans="2:2" ht="15.75" x14ac:dyDescent="0.25">
      <c r="B268" s="13"/>
    </row>
    <row r="269" spans="2:2" ht="15.75" x14ac:dyDescent="0.25">
      <c r="B269" s="13"/>
    </row>
    <row r="270" spans="2:2" ht="15.75" x14ac:dyDescent="0.25">
      <c r="B270" s="13"/>
    </row>
    <row r="271" spans="2:2" ht="15.75" x14ac:dyDescent="0.25">
      <c r="B271" s="13"/>
    </row>
    <row r="272" spans="2:2" ht="15.75" x14ac:dyDescent="0.25">
      <c r="B272" s="13"/>
    </row>
    <row r="273" spans="2:2" ht="15.75" x14ac:dyDescent="0.25">
      <c r="B273" s="13"/>
    </row>
    <row r="274" spans="2:2" ht="15.75" x14ac:dyDescent="0.25">
      <c r="B274" s="13"/>
    </row>
    <row r="275" spans="2:2" ht="15.75" x14ac:dyDescent="0.25">
      <c r="B275" s="13"/>
    </row>
    <row r="276" spans="2:2" ht="15.75" x14ac:dyDescent="0.25">
      <c r="B276" s="13"/>
    </row>
    <row r="277" spans="2:2" ht="15.75" x14ac:dyDescent="0.25">
      <c r="B277" s="13"/>
    </row>
    <row r="278" spans="2:2" ht="15.75" x14ac:dyDescent="0.25">
      <c r="B278" s="13"/>
    </row>
    <row r="279" spans="2:2" ht="15.75" x14ac:dyDescent="0.25">
      <c r="B279" s="13"/>
    </row>
    <row r="280" spans="2:2" ht="15.75" x14ac:dyDescent="0.25">
      <c r="B280" s="13"/>
    </row>
    <row r="281" spans="2:2" ht="15.75" x14ac:dyDescent="0.25">
      <c r="B281" s="13"/>
    </row>
    <row r="282" spans="2:2" ht="15.75" x14ac:dyDescent="0.25">
      <c r="B282" s="13"/>
    </row>
    <row r="283" spans="2:2" ht="15.75" x14ac:dyDescent="0.25">
      <c r="B283" s="13"/>
    </row>
    <row r="284" spans="2:2" ht="15.75" x14ac:dyDescent="0.25">
      <c r="B284" s="13"/>
    </row>
    <row r="285" spans="2:2" ht="15.75" x14ac:dyDescent="0.25">
      <c r="B285" s="13"/>
    </row>
    <row r="286" spans="2:2" ht="15.75" x14ac:dyDescent="0.25">
      <c r="B286" s="13"/>
    </row>
    <row r="287" spans="2:2" ht="15.75" x14ac:dyDescent="0.25">
      <c r="B287" s="13"/>
    </row>
    <row r="288" spans="2:2" ht="15.75" x14ac:dyDescent="0.25">
      <c r="B288" s="13"/>
    </row>
    <row r="289" spans="2:2" ht="15.75" x14ac:dyDescent="0.25">
      <c r="B289" s="13"/>
    </row>
    <row r="290" spans="2:2" ht="15.75" x14ac:dyDescent="0.25">
      <c r="B290" s="13"/>
    </row>
    <row r="291" spans="2:2" ht="15.75" x14ac:dyDescent="0.25">
      <c r="B291" s="13"/>
    </row>
    <row r="292" spans="2:2" ht="15.75" x14ac:dyDescent="0.25">
      <c r="B292" s="13"/>
    </row>
    <row r="293" spans="2:2" ht="15.75" x14ac:dyDescent="0.25">
      <c r="B293" s="13"/>
    </row>
    <row r="294" spans="2:2" ht="15.75" x14ac:dyDescent="0.25">
      <c r="B294" s="13"/>
    </row>
    <row r="295" spans="2:2" ht="15.75" x14ac:dyDescent="0.25">
      <c r="B295" s="13"/>
    </row>
    <row r="296" spans="2:2" ht="15.75" x14ac:dyDescent="0.25">
      <c r="B296" s="13"/>
    </row>
    <row r="297" spans="2:2" ht="15.75" x14ac:dyDescent="0.25">
      <c r="B297" s="13"/>
    </row>
    <row r="298" spans="2:2" ht="15.75" x14ac:dyDescent="0.25">
      <c r="B298" s="13"/>
    </row>
    <row r="299" spans="2:2" ht="15.75" x14ac:dyDescent="0.25">
      <c r="B299" s="13"/>
    </row>
    <row r="300" spans="2:2" ht="15.75" x14ac:dyDescent="0.25">
      <c r="B300" s="13"/>
    </row>
    <row r="301" spans="2:2" ht="15.75" x14ac:dyDescent="0.25">
      <c r="B301" s="13"/>
    </row>
    <row r="302" spans="2:2" ht="15.75" x14ac:dyDescent="0.25">
      <c r="B302" s="13"/>
    </row>
    <row r="303" spans="2:2" ht="15.75" x14ac:dyDescent="0.25">
      <c r="B303" s="13"/>
    </row>
    <row r="304" spans="2:2" ht="15.75" x14ac:dyDescent="0.25">
      <c r="B304" s="13"/>
    </row>
    <row r="305" spans="2:2" ht="15.75" x14ac:dyDescent="0.25">
      <c r="B305" s="13"/>
    </row>
    <row r="306" spans="2:2" ht="15.75" x14ac:dyDescent="0.25">
      <c r="B306" s="13"/>
    </row>
    <row r="307" spans="2:2" ht="15.75" x14ac:dyDescent="0.25">
      <c r="B307" s="13"/>
    </row>
    <row r="308" spans="2:2" ht="15.75" x14ac:dyDescent="0.25">
      <c r="B308" s="13"/>
    </row>
    <row r="309" spans="2:2" ht="15.75" x14ac:dyDescent="0.25">
      <c r="B309" s="13"/>
    </row>
    <row r="310" spans="2:2" ht="15.75" x14ac:dyDescent="0.25">
      <c r="B310" s="13"/>
    </row>
    <row r="311" spans="2:2" ht="15.75" x14ac:dyDescent="0.25">
      <c r="B311" s="13"/>
    </row>
    <row r="312" spans="2:2" ht="15.75" x14ac:dyDescent="0.25">
      <c r="B312" s="13"/>
    </row>
    <row r="313" spans="2:2" ht="15.75" x14ac:dyDescent="0.25">
      <c r="B313" s="13"/>
    </row>
    <row r="314" spans="2:2" ht="15.75" x14ac:dyDescent="0.25">
      <c r="B314" s="13"/>
    </row>
    <row r="315" spans="2:2" ht="15.75" x14ac:dyDescent="0.25">
      <c r="B315" s="13"/>
    </row>
    <row r="316" spans="2:2" ht="15.75" x14ac:dyDescent="0.25">
      <c r="B316" s="13"/>
    </row>
    <row r="317" spans="2:2" ht="15.75" x14ac:dyDescent="0.25">
      <c r="B317" s="13"/>
    </row>
    <row r="318" spans="2:2" ht="15.75" x14ac:dyDescent="0.25">
      <c r="B318" s="13"/>
    </row>
    <row r="319" spans="2:2" ht="15.75" x14ac:dyDescent="0.25">
      <c r="B319" s="13"/>
    </row>
    <row r="320" spans="2:2" ht="15.75" x14ac:dyDescent="0.25">
      <c r="B320" s="13"/>
    </row>
    <row r="321" spans="2:2" ht="15.75" x14ac:dyDescent="0.25">
      <c r="B321" s="13"/>
    </row>
    <row r="322" spans="2:2" ht="15.75" x14ac:dyDescent="0.25">
      <c r="B322" s="13"/>
    </row>
    <row r="323" spans="2:2" ht="15.75" x14ac:dyDescent="0.25">
      <c r="B323" s="13"/>
    </row>
    <row r="324" spans="2:2" ht="15.75" x14ac:dyDescent="0.25">
      <c r="B324" s="13"/>
    </row>
    <row r="325" spans="2:2" ht="15.75" x14ac:dyDescent="0.25">
      <c r="B325" s="13"/>
    </row>
    <row r="326" spans="2:2" ht="15.75" x14ac:dyDescent="0.25">
      <c r="B326" s="13"/>
    </row>
    <row r="327" spans="2:2" ht="15.75" x14ac:dyDescent="0.25">
      <c r="B327" s="13"/>
    </row>
    <row r="328" spans="2:2" ht="15.75" x14ac:dyDescent="0.25">
      <c r="B328" s="13"/>
    </row>
    <row r="329" spans="2:2" ht="15.75" x14ac:dyDescent="0.25">
      <c r="B329" s="13"/>
    </row>
    <row r="330" spans="2:2" ht="15.75" x14ac:dyDescent="0.25">
      <c r="B330" s="13"/>
    </row>
    <row r="331" spans="2:2" ht="15.75" x14ac:dyDescent="0.25">
      <c r="B331" s="13"/>
    </row>
    <row r="332" spans="2:2" ht="15.75" x14ac:dyDescent="0.25">
      <c r="B332" s="13"/>
    </row>
    <row r="333" spans="2:2" ht="15.75" x14ac:dyDescent="0.25">
      <c r="B333" s="13"/>
    </row>
    <row r="334" spans="2:2" ht="15.75" x14ac:dyDescent="0.25">
      <c r="B334" s="13"/>
    </row>
    <row r="335" spans="2:2" ht="15.75" x14ac:dyDescent="0.25">
      <c r="B335" s="13"/>
    </row>
    <row r="336" spans="2:2" ht="15.75" x14ac:dyDescent="0.25">
      <c r="B336" s="13"/>
    </row>
    <row r="337" spans="2:2" ht="15.75" x14ac:dyDescent="0.25">
      <c r="B337" s="13"/>
    </row>
    <row r="338" spans="2:2" ht="15.75" x14ac:dyDescent="0.25">
      <c r="B338" s="13"/>
    </row>
    <row r="339" spans="2:2" ht="15.75" x14ac:dyDescent="0.25">
      <c r="B339" s="13"/>
    </row>
    <row r="340" spans="2:2" ht="15.75" x14ac:dyDescent="0.25">
      <c r="B340" s="13"/>
    </row>
    <row r="341" spans="2:2" ht="15.75" x14ac:dyDescent="0.25">
      <c r="B341" s="13"/>
    </row>
    <row r="342" spans="2:2" ht="15.75" x14ac:dyDescent="0.25">
      <c r="B342" s="13"/>
    </row>
    <row r="343" spans="2:2" ht="15.75" x14ac:dyDescent="0.25">
      <c r="B343" s="13"/>
    </row>
    <row r="344" spans="2:2" ht="15.75" x14ac:dyDescent="0.25">
      <c r="B344" s="13"/>
    </row>
    <row r="345" spans="2:2" ht="15.75" x14ac:dyDescent="0.25">
      <c r="B345" s="13"/>
    </row>
    <row r="346" spans="2:2" ht="15.75" x14ac:dyDescent="0.25">
      <c r="B346" s="13"/>
    </row>
    <row r="347" spans="2:2" ht="15.75" x14ac:dyDescent="0.25">
      <c r="B347" s="13"/>
    </row>
    <row r="348" spans="2:2" ht="15.75" x14ac:dyDescent="0.25">
      <c r="B348" s="13"/>
    </row>
    <row r="349" spans="2:2" ht="15.75" x14ac:dyDescent="0.25">
      <c r="B349" s="13"/>
    </row>
    <row r="350" spans="2:2" ht="15.75" x14ac:dyDescent="0.25">
      <c r="B350" s="13"/>
    </row>
    <row r="351" spans="2:2" ht="15.75" x14ac:dyDescent="0.25">
      <c r="B351" s="13"/>
    </row>
    <row r="352" spans="2:2" ht="15.75" x14ac:dyDescent="0.25">
      <c r="B352" s="13"/>
    </row>
    <row r="353" spans="2:2" ht="15.75" x14ac:dyDescent="0.25">
      <c r="B353" s="13"/>
    </row>
    <row r="354" spans="2:2" ht="15.75" x14ac:dyDescent="0.25">
      <c r="B354" s="13"/>
    </row>
    <row r="355" spans="2:2" ht="15.75" x14ac:dyDescent="0.25">
      <c r="B355" s="13"/>
    </row>
    <row r="356" spans="2:2" ht="15.75" x14ac:dyDescent="0.25">
      <c r="B356" s="13"/>
    </row>
    <row r="357" spans="2:2" ht="15.75" x14ac:dyDescent="0.25">
      <c r="B357" s="13"/>
    </row>
    <row r="358" spans="2:2" ht="15.75" x14ac:dyDescent="0.25">
      <c r="B358" s="13"/>
    </row>
    <row r="359" spans="2:2" ht="15.75" x14ac:dyDescent="0.25">
      <c r="B359" s="13"/>
    </row>
    <row r="360" spans="2:2" ht="15.75" x14ac:dyDescent="0.25">
      <c r="B360" s="13"/>
    </row>
    <row r="361" spans="2:2" ht="15.75" x14ac:dyDescent="0.25">
      <c r="B361" s="13"/>
    </row>
    <row r="362" spans="2:2" ht="15.75" x14ac:dyDescent="0.25">
      <c r="B362" s="13"/>
    </row>
    <row r="363" spans="2:2" ht="15.75" x14ac:dyDescent="0.25">
      <c r="B363" s="13"/>
    </row>
    <row r="364" spans="2:2" ht="15.75" x14ac:dyDescent="0.25">
      <c r="B364" s="13"/>
    </row>
    <row r="365" spans="2:2" ht="15.75" x14ac:dyDescent="0.25">
      <c r="B365" s="13"/>
    </row>
    <row r="366" spans="2:2" ht="15.75" x14ac:dyDescent="0.25">
      <c r="B366" s="13"/>
    </row>
    <row r="367" spans="2:2" ht="15.75" x14ac:dyDescent="0.25">
      <c r="B367" s="13"/>
    </row>
    <row r="368" spans="2:2" ht="15.75" x14ac:dyDescent="0.25">
      <c r="B368" s="13"/>
    </row>
    <row r="369" spans="2:2" ht="15.75" x14ac:dyDescent="0.25">
      <c r="B369" s="13"/>
    </row>
    <row r="370" spans="2:2" ht="15.75" x14ac:dyDescent="0.25">
      <c r="B370" s="13"/>
    </row>
    <row r="371" spans="2:2" ht="15.75" x14ac:dyDescent="0.25">
      <c r="B371" s="13"/>
    </row>
    <row r="372" spans="2:2" ht="15.75" x14ac:dyDescent="0.25">
      <c r="B372" s="13"/>
    </row>
    <row r="373" spans="2:2" ht="15.75" x14ac:dyDescent="0.25">
      <c r="B373" s="13"/>
    </row>
    <row r="374" spans="2:2" ht="15.75" x14ac:dyDescent="0.25">
      <c r="B374" s="13"/>
    </row>
    <row r="375" spans="2:2" ht="15.75" x14ac:dyDescent="0.25">
      <c r="B375" s="13"/>
    </row>
    <row r="376" spans="2:2" ht="15.75" x14ac:dyDescent="0.25">
      <c r="B376" s="13"/>
    </row>
    <row r="377" spans="2:2" ht="15.75" x14ac:dyDescent="0.25">
      <c r="B377" s="13"/>
    </row>
    <row r="378" spans="2:2" ht="15.75" x14ac:dyDescent="0.25">
      <c r="B378" s="13"/>
    </row>
    <row r="379" spans="2:2" ht="15.75" x14ac:dyDescent="0.25">
      <c r="B379" s="13"/>
    </row>
    <row r="380" spans="2:2" ht="15.75" x14ac:dyDescent="0.25">
      <c r="B380" s="13"/>
    </row>
    <row r="381" spans="2:2" ht="15.75" x14ac:dyDescent="0.25">
      <c r="B381" s="13"/>
    </row>
    <row r="382" spans="2:2" ht="15.75" x14ac:dyDescent="0.25">
      <c r="B382" s="13"/>
    </row>
    <row r="383" spans="2:2" ht="15.75" x14ac:dyDescent="0.25">
      <c r="B383" s="13"/>
    </row>
    <row r="384" spans="2:2" ht="15.75" x14ac:dyDescent="0.25">
      <c r="B384" s="13"/>
    </row>
    <row r="385" spans="2:2" ht="15.75" x14ac:dyDescent="0.25">
      <c r="B385" s="13"/>
    </row>
    <row r="386" spans="2:2" ht="15.75" x14ac:dyDescent="0.25">
      <c r="B386" s="13"/>
    </row>
    <row r="387" spans="2:2" ht="15.75" x14ac:dyDescent="0.25">
      <c r="B387" s="13"/>
    </row>
    <row r="388" spans="2:2" ht="15.75" x14ac:dyDescent="0.25">
      <c r="B388" s="13"/>
    </row>
    <row r="389" spans="2:2" ht="15.75" x14ac:dyDescent="0.25">
      <c r="B389" s="13"/>
    </row>
    <row r="390" spans="2:2" ht="15.75" x14ac:dyDescent="0.25">
      <c r="B390" s="13"/>
    </row>
    <row r="391" spans="2:2" ht="15.75" x14ac:dyDescent="0.25">
      <c r="B391" s="13"/>
    </row>
    <row r="392" spans="2:2" ht="15.75" x14ac:dyDescent="0.25">
      <c r="B392" s="13"/>
    </row>
    <row r="393" spans="2:2" ht="15.75" x14ac:dyDescent="0.25">
      <c r="B393" s="13"/>
    </row>
    <row r="394" spans="2:2" ht="15.75" x14ac:dyDescent="0.25">
      <c r="B394" s="13"/>
    </row>
    <row r="395" spans="2:2" ht="15.75" x14ac:dyDescent="0.25">
      <c r="B395" s="13"/>
    </row>
    <row r="396" spans="2:2" ht="15.75" x14ac:dyDescent="0.25">
      <c r="B396" s="13"/>
    </row>
    <row r="397" spans="2:2" ht="15.75" x14ac:dyDescent="0.25">
      <c r="B397" s="13"/>
    </row>
    <row r="398" spans="2:2" ht="15.75" x14ac:dyDescent="0.25">
      <c r="B398" s="13"/>
    </row>
    <row r="399" spans="2:2" ht="15.75" x14ac:dyDescent="0.25">
      <c r="B399" s="13"/>
    </row>
    <row r="400" spans="2:2" ht="15.75" x14ac:dyDescent="0.25">
      <c r="B400" s="13"/>
    </row>
    <row r="401" spans="2:2" ht="15.75" x14ac:dyDescent="0.25">
      <c r="B401" s="13"/>
    </row>
    <row r="402" spans="2:2" ht="15.75" x14ac:dyDescent="0.25">
      <c r="B402" s="13"/>
    </row>
    <row r="403" spans="2:2" ht="15.75" x14ac:dyDescent="0.25">
      <c r="B403" s="13"/>
    </row>
    <row r="404" spans="2:2" ht="15.75" x14ac:dyDescent="0.25">
      <c r="B404" s="13"/>
    </row>
    <row r="405" spans="2:2" ht="15.75" x14ac:dyDescent="0.25">
      <c r="B405" s="13"/>
    </row>
    <row r="406" spans="2:2" ht="15.75" x14ac:dyDescent="0.25">
      <c r="B406" s="13"/>
    </row>
    <row r="407" spans="2:2" ht="15.75" x14ac:dyDescent="0.25">
      <c r="B407" s="13"/>
    </row>
    <row r="408" spans="2:2" ht="15.75" x14ac:dyDescent="0.25">
      <c r="B408" s="13"/>
    </row>
    <row r="409" spans="2:2" ht="15.75" x14ac:dyDescent="0.25">
      <c r="B409" s="13"/>
    </row>
    <row r="410" spans="2:2" ht="15.75" x14ac:dyDescent="0.25">
      <c r="B410" s="13"/>
    </row>
    <row r="411" spans="2:2" ht="15.75" x14ac:dyDescent="0.25">
      <c r="B411" s="13"/>
    </row>
    <row r="412" spans="2:2" ht="15.75" x14ac:dyDescent="0.25">
      <c r="B412" s="13"/>
    </row>
    <row r="413" spans="2:2" ht="15.75" x14ac:dyDescent="0.25">
      <c r="B413" s="13"/>
    </row>
    <row r="414" spans="2:2" ht="15.75" x14ac:dyDescent="0.25">
      <c r="B414" s="13"/>
    </row>
    <row r="415" spans="2:2" ht="15.75" x14ac:dyDescent="0.25">
      <c r="B415" s="13"/>
    </row>
    <row r="416" spans="2:2" ht="15.75" x14ac:dyDescent="0.25">
      <c r="B416" s="13"/>
    </row>
    <row r="417" spans="2:2" ht="15.75" x14ac:dyDescent="0.25">
      <c r="B417" s="13"/>
    </row>
    <row r="418" spans="2:2" ht="15.75" x14ac:dyDescent="0.25">
      <c r="B418" s="13"/>
    </row>
    <row r="419" spans="2:2" ht="15.75" x14ac:dyDescent="0.25">
      <c r="B419" s="13"/>
    </row>
    <row r="420" spans="2:2" ht="15.75" x14ac:dyDescent="0.25">
      <c r="B420" s="13"/>
    </row>
    <row r="421" spans="2:2" ht="15.75" x14ac:dyDescent="0.25">
      <c r="B421" s="13"/>
    </row>
    <row r="422" spans="2:2" ht="15.75" x14ac:dyDescent="0.25">
      <c r="B422" s="13"/>
    </row>
    <row r="423" spans="2:2" ht="15.75" x14ac:dyDescent="0.25">
      <c r="B423" s="13"/>
    </row>
    <row r="424" spans="2:2" ht="15.75" x14ac:dyDescent="0.25">
      <c r="B424" s="13"/>
    </row>
    <row r="425" spans="2:2" ht="15.75" x14ac:dyDescent="0.25">
      <c r="B425" s="13"/>
    </row>
    <row r="426" spans="2:2" ht="15.75" x14ac:dyDescent="0.25">
      <c r="B426" s="13"/>
    </row>
    <row r="427" spans="2:2" ht="15.75" x14ac:dyDescent="0.25">
      <c r="B427" s="13"/>
    </row>
    <row r="428" spans="2:2" ht="15.75" x14ac:dyDescent="0.25">
      <c r="B428" s="13"/>
    </row>
    <row r="429" spans="2:2" ht="15.75" x14ac:dyDescent="0.25">
      <c r="B429" s="13"/>
    </row>
    <row r="430" spans="2:2" ht="15.75" x14ac:dyDescent="0.25">
      <c r="B430" s="13"/>
    </row>
    <row r="431" spans="2:2" ht="15.75" x14ac:dyDescent="0.25">
      <c r="B431" s="13"/>
    </row>
    <row r="432" spans="2:2" ht="15.75" x14ac:dyDescent="0.25">
      <c r="B432" s="13"/>
    </row>
    <row r="433" spans="2:2" ht="15.75" x14ac:dyDescent="0.25">
      <c r="B433" s="13"/>
    </row>
    <row r="434" spans="2:2" ht="15.75" x14ac:dyDescent="0.25">
      <c r="B434" s="13"/>
    </row>
    <row r="435" spans="2:2" ht="15.75" x14ac:dyDescent="0.25">
      <c r="B435" s="13"/>
    </row>
    <row r="436" spans="2:2" ht="15.75" x14ac:dyDescent="0.25">
      <c r="B436" s="13"/>
    </row>
    <row r="437" spans="2:2" ht="15.75" x14ac:dyDescent="0.25">
      <c r="B437" s="13"/>
    </row>
    <row r="438" spans="2:2" ht="15.75" x14ac:dyDescent="0.25">
      <c r="B438" s="13"/>
    </row>
    <row r="439" spans="2:2" ht="15.75" x14ac:dyDescent="0.25">
      <c r="B439" s="13"/>
    </row>
    <row r="440" spans="2:2" ht="15.75" x14ac:dyDescent="0.25">
      <c r="B440" s="13"/>
    </row>
    <row r="441" spans="2:2" ht="15.75" x14ac:dyDescent="0.25">
      <c r="B441" s="13"/>
    </row>
    <row r="442" spans="2:2" ht="15.75" x14ac:dyDescent="0.25">
      <c r="B442" s="13"/>
    </row>
    <row r="443" spans="2:2" ht="15.75" x14ac:dyDescent="0.25">
      <c r="B443" s="13"/>
    </row>
    <row r="444" spans="2:2" ht="15.75" x14ac:dyDescent="0.25">
      <c r="B444" s="13"/>
    </row>
    <row r="445" spans="2:2" ht="15.75" x14ac:dyDescent="0.25">
      <c r="B445" s="13"/>
    </row>
    <row r="446" spans="2:2" ht="15.75" x14ac:dyDescent="0.25">
      <c r="B446" s="13"/>
    </row>
    <row r="447" spans="2:2" ht="15.75" x14ac:dyDescent="0.25">
      <c r="B447" s="13"/>
    </row>
    <row r="448" spans="2:2" ht="15.75" x14ac:dyDescent="0.25">
      <c r="B448" s="13"/>
    </row>
    <row r="449" spans="2:2" ht="15.75" x14ac:dyDescent="0.25">
      <c r="B449" s="13"/>
    </row>
    <row r="450" spans="2:2" ht="15.75" x14ac:dyDescent="0.25">
      <c r="B450" s="13"/>
    </row>
    <row r="451" spans="2:2" ht="15.75" x14ac:dyDescent="0.25">
      <c r="B451" s="13"/>
    </row>
    <row r="452" spans="2:2" ht="15.75" x14ac:dyDescent="0.25">
      <c r="B452" s="13"/>
    </row>
    <row r="453" spans="2:2" ht="15.75" x14ac:dyDescent="0.25">
      <c r="B453" s="13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orientation="portrait" horizontalDpi="300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18"/>
  <sheetViews>
    <sheetView workbookViewId="0">
      <selection sqref="A1:J13"/>
    </sheetView>
  </sheetViews>
  <sheetFormatPr defaultRowHeight="12.75" x14ac:dyDescent="0.2"/>
  <cols>
    <col min="3" max="3" width="13.5703125" customWidth="1"/>
    <col min="4" max="4" width="11.140625" customWidth="1"/>
    <col min="5" max="5" width="4.7109375" customWidth="1"/>
    <col min="9" max="9" width="2.5703125" customWidth="1"/>
    <col min="10" max="10" width="9.28515625" customWidth="1"/>
  </cols>
  <sheetData>
    <row r="1" spans="1:10" ht="30.75" customHeight="1" thickBot="1" x14ac:dyDescent="0.25">
      <c r="A1" s="1951" t="s">
        <v>151</v>
      </c>
      <c r="B1" s="1952"/>
      <c r="C1" s="1952"/>
      <c r="D1" s="1952"/>
      <c r="E1" s="1952"/>
      <c r="F1" s="1952"/>
      <c r="G1" s="1952"/>
      <c r="H1" s="1952"/>
      <c r="I1" s="1952"/>
      <c r="J1" s="1953"/>
    </row>
    <row r="2" spans="1:10" ht="0.75" customHeight="1" x14ac:dyDescent="0.2">
      <c r="A2" s="204"/>
      <c r="B2" s="211"/>
      <c r="C2" s="205"/>
      <c r="D2" s="205"/>
      <c r="E2" s="205"/>
      <c r="F2" s="205"/>
      <c r="G2" s="205"/>
      <c r="H2" s="205"/>
      <c r="I2" s="205"/>
      <c r="J2" s="206"/>
    </row>
    <row r="3" spans="1:10" ht="1.5" customHeight="1" x14ac:dyDescent="0.2">
      <c r="A3" s="204"/>
      <c r="B3" s="205"/>
      <c r="C3" s="205"/>
      <c r="D3" s="205"/>
      <c r="E3" s="205"/>
      <c r="F3" s="205"/>
      <c r="G3" s="205"/>
      <c r="H3" s="205"/>
      <c r="I3" s="205"/>
      <c r="J3" s="206"/>
    </row>
    <row r="4" spans="1:10" ht="1.5" customHeight="1" x14ac:dyDescent="0.2">
      <c r="A4" s="204"/>
      <c r="B4" s="205"/>
      <c r="C4" s="205"/>
      <c r="D4" s="205"/>
      <c r="E4" s="205"/>
      <c r="F4" s="205"/>
      <c r="G4" s="205"/>
      <c r="H4" s="205"/>
      <c r="I4" s="205"/>
      <c r="J4" s="206"/>
    </row>
    <row r="5" spans="1:10" ht="1.5" customHeight="1" x14ac:dyDescent="0.2">
      <c r="A5" s="204"/>
      <c r="B5" s="205"/>
      <c r="C5" s="205"/>
      <c r="D5" s="205"/>
      <c r="E5" s="205"/>
      <c r="F5" s="205"/>
      <c r="G5" s="205"/>
      <c r="H5" s="205"/>
      <c r="I5" s="205"/>
      <c r="J5" s="206"/>
    </row>
    <row r="6" spans="1:10" ht="1.5" customHeight="1" x14ac:dyDescent="0.2">
      <c r="A6" s="204"/>
      <c r="B6" s="205"/>
      <c r="C6" s="205"/>
      <c r="D6" s="205"/>
      <c r="E6" s="205"/>
      <c r="F6" s="205"/>
      <c r="G6" s="205"/>
      <c r="H6" s="205"/>
      <c r="I6" s="205"/>
      <c r="J6" s="206"/>
    </row>
    <row r="7" spans="1:10" x14ac:dyDescent="0.2">
      <c r="A7" s="204"/>
      <c r="B7" s="205"/>
      <c r="C7" s="205"/>
      <c r="D7" s="205"/>
      <c r="E7" s="205"/>
      <c r="F7" s="205"/>
      <c r="G7" s="205"/>
      <c r="H7" s="205"/>
      <c r="I7" s="205"/>
      <c r="J7" s="206"/>
    </row>
    <row r="8" spans="1:10" ht="13.5" thickBot="1" x14ac:dyDescent="0.25">
      <c r="A8" s="353"/>
      <c r="B8" s="96"/>
      <c r="C8" s="96"/>
      <c r="D8" s="96"/>
      <c r="E8" s="96"/>
      <c r="F8" s="96"/>
      <c r="G8" s="96"/>
      <c r="H8" s="96"/>
      <c r="I8" s="96"/>
      <c r="J8" s="210"/>
    </row>
    <row r="9" spans="1:10" ht="23.25" customHeight="1" x14ac:dyDescent="0.2">
      <c r="A9" s="1954"/>
      <c r="B9" s="1955"/>
      <c r="C9" s="1955"/>
      <c r="D9" s="1955"/>
      <c r="E9" s="1955"/>
      <c r="F9" s="1955"/>
      <c r="G9" s="1955"/>
      <c r="H9" s="1955"/>
      <c r="I9" s="1955"/>
      <c r="J9" s="1956"/>
    </row>
    <row r="10" spans="1:10" x14ac:dyDescent="0.2">
      <c r="A10" s="204"/>
      <c r="B10" s="205"/>
      <c r="C10" s="205"/>
      <c r="D10" s="205"/>
      <c r="E10" s="205"/>
      <c r="F10" s="205"/>
      <c r="G10" s="205"/>
      <c r="H10" s="205"/>
      <c r="I10" s="205"/>
      <c r="J10" s="206"/>
    </row>
    <row r="11" spans="1:10" x14ac:dyDescent="0.2">
      <c r="A11" s="207"/>
      <c r="B11" s="98" t="s">
        <v>77</v>
      </c>
      <c r="C11" s="97"/>
      <c r="D11" s="97"/>
      <c r="E11" s="205"/>
      <c r="F11" s="99"/>
      <c r="G11" s="98" t="s">
        <v>78</v>
      </c>
      <c r="H11" s="99"/>
      <c r="I11" s="99"/>
      <c r="J11" s="208"/>
    </row>
    <row r="12" spans="1:10" x14ac:dyDescent="0.2">
      <c r="A12" s="1946" t="s">
        <v>79</v>
      </c>
      <c r="B12" s="1947"/>
      <c r="C12" s="1947"/>
      <c r="D12" s="279"/>
      <c r="E12" s="205"/>
      <c r="F12" s="1948" t="s">
        <v>152</v>
      </c>
      <c r="G12" s="1947"/>
      <c r="H12" s="1947"/>
      <c r="I12" s="1947"/>
      <c r="J12" s="281"/>
    </row>
    <row r="13" spans="1:10" ht="13.5" thickBot="1" x14ac:dyDescent="0.25">
      <c r="A13" s="1949" t="s">
        <v>80</v>
      </c>
      <c r="B13" s="1950"/>
      <c r="C13" s="1950"/>
      <c r="D13" s="280"/>
      <c r="E13" s="209"/>
      <c r="F13" s="352" t="s">
        <v>173</v>
      </c>
      <c r="G13" s="209"/>
      <c r="H13" s="209"/>
      <c r="I13" s="209"/>
      <c r="J13" s="210"/>
    </row>
    <row r="14" spans="1:10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</row>
  </sheetData>
  <mergeCells count="5">
    <mergeCell ref="A12:C12"/>
    <mergeCell ref="F12:I12"/>
    <mergeCell ref="A13:C13"/>
    <mergeCell ref="A1:J1"/>
    <mergeCell ref="A9:J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8"/>
  <sheetViews>
    <sheetView topLeftCell="A66" workbookViewId="0">
      <selection sqref="A1:P307"/>
    </sheetView>
  </sheetViews>
  <sheetFormatPr defaultRowHeight="12.75" x14ac:dyDescent="0.2"/>
  <cols>
    <col min="1" max="1" width="7.140625" customWidth="1"/>
    <col min="2" max="2" width="23.42578125" customWidth="1"/>
    <col min="3" max="3" width="10.5703125" style="158" customWidth="1"/>
    <col min="4" max="4" width="9.7109375" style="158" customWidth="1"/>
    <col min="5" max="5" width="9.5703125" style="158" customWidth="1"/>
    <col min="6" max="6" width="10.28515625" style="158" customWidth="1"/>
    <col min="7" max="7" width="12.5703125" style="158" customWidth="1"/>
    <col min="8" max="8" width="10.5703125" style="158" customWidth="1"/>
    <col min="9" max="9" width="8.7109375" style="158" customWidth="1"/>
    <col min="10" max="10" width="9.5703125" style="158" customWidth="1"/>
    <col min="11" max="11" width="12.7109375" style="158" customWidth="1"/>
    <col min="12" max="12" width="12" style="158" customWidth="1"/>
    <col min="13" max="13" width="11.42578125" style="158" customWidth="1"/>
    <col min="14" max="14" width="11.5703125" style="158" bestFit="1" customWidth="1"/>
    <col min="15" max="15" width="0.28515625" style="158" customWidth="1"/>
    <col min="16" max="16" width="0.5703125" style="158" customWidth="1"/>
    <col min="17" max="17" width="13.42578125" style="158" customWidth="1"/>
    <col min="18" max="18" width="11.7109375" style="158" customWidth="1"/>
    <col min="19" max="20" width="9.140625" style="158"/>
  </cols>
  <sheetData>
    <row r="1" spans="1:20" ht="29.25" customHeight="1" thickBot="1" x14ac:dyDescent="0.3">
      <c r="A1" s="1929" t="s">
        <v>524</v>
      </c>
      <c r="B1" s="1939"/>
      <c r="C1" s="1939"/>
      <c r="D1" s="1939"/>
      <c r="E1" s="1939"/>
      <c r="F1" s="1939"/>
      <c r="G1" s="1939"/>
      <c r="H1" s="1939"/>
      <c r="I1" s="1939"/>
      <c r="J1" s="1939"/>
      <c r="K1" s="1939"/>
      <c r="L1" s="1939"/>
      <c r="M1" s="1939"/>
      <c r="N1" s="1939"/>
      <c r="O1" s="1959"/>
      <c r="P1" s="1960"/>
    </row>
    <row r="2" spans="1:20" ht="13.5" customHeight="1" x14ac:dyDescent="0.25">
      <c r="C2" s="376"/>
      <c r="D2" s="370"/>
      <c r="E2" s="370"/>
      <c r="F2" s="370"/>
      <c r="G2" s="370"/>
      <c r="H2" s="370"/>
      <c r="I2" s="370"/>
      <c r="J2" s="370"/>
      <c r="K2" s="1108"/>
      <c r="L2" s="1113"/>
      <c r="M2" s="1112"/>
      <c r="N2" s="371"/>
      <c r="O2" s="367"/>
      <c r="P2" s="367"/>
    </row>
    <row r="3" spans="1:20" ht="57.75" customHeight="1" x14ac:dyDescent="0.2">
      <c r="A3" s="447" t="s">
        <v>229</v>
      </c>
      <c r="B3" s="425" t="s">
        <v>230</v>
      </c>
      <c r="C3" s="174" t="s">
        <v>231</v>
      </c>
      <c r="D3" s="174" t="s">
        <v>232</v>
      </c>
      <c r="E3" s="174" t="s">
        <v>135</v>
      </c>
      <c r="F3" s="174" t="s">
        <v>234</v>
      </c>
      <c r="G3" s="174" t="s">
        <v>235</v>
      </c>
      <c r="H3" s="174" t="s">
        <v>136</v>
      </c>
      <c r="I3" s="174" t="s">
        <v>233</v>
      </c>
      <c r="J3" s="174" t="s">
        <v>432</v>
      </c>
      <c r="K3" s="1109" t="s">
        <v>137</v>
      </c>
      <c r="L3" s="1114" t="s">
        <v>54</v>
      </c>
      <c r="M3"/>
      <c r="N3"/>
      <c r="O3"/>
      <c r="P3"/>
      <c r="Q3"/>
      <c r="R3"/>
      <c r="S3"/>
      <c r="T3"/>
    </row>
    <row r="4" spans="1:20" ht="24.75" customHeight="1" thickBot="1" x14ac:dyDescent="0.25">
      <c r="A4" s="1963" t="s">
        <v>184</v>
      </c>
      <c r="B4" s="1964"/>
      <c r="C4" s="1387"/>
      <c r="D4" s="1387"/>
      <c r="E4" s="1387"/>
      <c r="F4" s="1387"/>
      <c r="G4" s="1387"/>
      <c r="H4" s="1387"/>
      <c r="I4" s="1387"/>
      <c r="J4" s="1387"/>
      <c r="K4" s="1388"/>
      <c r="L4" s="1391"/>
      <c r="M4"/>
      <c r="N4"/>
      <c r="O4"/>
      <c r="P4"/>
      <c r="Q4"/>
      <c r="R4"/>
      <c r="S4"/>
      <c r="T4"/>
    </row>
    <row r="5" spans="1:20" ht="21" customHeight="1" x14ac:dyDescent="0.2">
      <c r="A5" s="966" t="s">
        <v>245</v>
      </c>
      <c r="B5" s="967" t="s">
        <v>116</v>
      </c>
      <c r="C5" s="879"/>
      <c r="D5" s="879"/>
      <c r="E5" s="879"/>
      <c r="F5" s="879"/>
      <c r="G5" s="879"/>
      <c r="H5" s="879"/>
      <c r="I5" s="879"/>
      <c r="J5" s="879"/>
      <c r="K5" s="1289"/>
      <c r="L5" s="1115"/>
      <c r="M5" s="4"/>
      <c r="N5" s="4"/>
      <c r="O5"/>
      <c r="P5"/>
      <c r="Q5"/>
      <c r="R5"/>
      <c r="S5"/>
      <c r="T5"/>
    </row>
    <row r="6" spans="1:20" ht="12.95" customHeight="1" thickBot="1" x14ac:dyDescent="0.25">
      <c r="A6" s="1659"/>
      <c r="B6" s="630" t="s">
        <v>392</v>
      </c>
      <c r="C6" s="631"/>
      <c r="D6" s="631">
        <f>SUM('5.a.sz. melléklet'!D7)</f>
        <v>543532</v>
      </c>
      <c r="E6" s="631"/>
      <c r="F6" s="631"/>
      <c r="G6" s="631"/>
      <c r="H6" s="631"/>
      <c r="I6" s="631"/>
      <c r="J6" s="631"/>
      <c r="K6" s="1291"/>
      <c r="L6" s="1775">
        <f>SUM(C6:K6)</f>
        <v>543532</v>
      </c>
      <c r="M6" s="4"/>
      <c r="N6" s="4"/>
      <c r="O6"/>
      <c r="P6"/>
      <c r="Q6"/>
      <c r="R6"/>
      <c r="S6"/>
      <c r="T6"/>
    </row>
    <row r="7" spans="1:20" ht="0.2" customHeight="1" x14ac:dyDescent="0.2">
      <c r="A7" s="1772"/>
      <c r="B7" s="1773" t="s">
        <v>393</v>
      </c>
      <c r="C7" s="1521"/>
      <c r="D7" s="1521"/>
      <c r="E7" s="1521"/>
      <c r="F7" s="1521"/>
      <c r="G7" s="1521"/>
      <c r="H7" s="1521"/>
      <c r="I7" s="1521"/>
      <c r="J7" s="1521"/>
      <c r="K7" s="1774"/>
      <c r="L7" s="1098">
        <f>SUM(C7:K7)</f>
        <v>0</v>
      </c>
      <c r="M7" s="4"/>
      <c r="N7" s="4"/>
      <c r="O7"/>
      <c r="P7"/>
      <c r="Q7"/>
      <c r="R7"/>
      <c r="S7"/>
      <c r="T7"/>
    </row>
    <row r="8" spans="1:20" ht="0.2" customHeight="1" x14ac:dyDescent="0.2">
      <c r="A8" s="448"/>
      <c r="B8" s="173" t="s">
        <v>391</v>
      </c>
      <c r="C8" s="255"/>
      <c r="D8" s="255"/>
      <c r="E8" s="255"/>
      <c r="F8" s="255"/>
      <c r="G8" s="255"/>
      <c r="H8" s="255"/>
      <c r="I8" s="255"/>
      <c r="J8" s="255"/>
      <c r="K8" s="1290"/>
      <c r="L8" s="1098">
        <f>SUM(C8:K8)</f>
        <v>0</v>
      </c>
      <c r="M8" s="4"/>
      <c r="N8" s="4"/>
      <c r="O8"/>
      <c r="P8"/>
      <c r="Q8"/>
      <c r="R8"/>
      <c r="S8"/>
      <c r="T8"/>
    </row>
    <row r="9" spans="1:20" ht="26.25" customHeight="1" x14ac:dyDescent="0.2">
      <c r="A9" s="654" t="s">
        <v>244</v>
      </c>
      <c r="B9" s="655" t="s">
        <v>422</v>
      </c>
      <c r="C9" s="255"/>
      <c r="D9" s="255"/>
      <c r="E9" s="255"/>
      <c r="F9" s="255"/>
      <c r="G9" s="255"/>
      <c r="H9" s="255"/>
      <c r="I9" s="255"/>
      <c r="J9" s="255"/>
      <c r="K9" s="1290"/>
      <c r="L9" s="1098"/>
      <c r="M9" s="4"/>
      <c r="N9" s="4"/>
      <c r="O9"/>
      <c r="P9"/>
      <c r="Q9"/>
      <c r="R9"/>
      <c r="S9"/>
      <c r="T9"/>
    </row>
    <row r="10" spans="1:20" ht="12.95" customHeight="1" thickBot="1" x14ac:dyDescent="0.25">
      <c r="A10" s="1659"/>
      <c r="B10" s="630" t="s">
        <v>392</v>
      </c>
      <c r="C10" s="631">
        <f>SUM('5.a.sz. melléklet'!C11)</f>
        <v>5605</v>
      </c>
      <c r="D10" s="631"/>
      <c r="E10" s="631"/>
      <c r="F10" s="631"/>
      <c r="G10" s="631"/>
      <c r="H10" s="631"/>
      <c r="I10" s="631"/>
      <c r="J10" s="631"/>
      <c r="K10" s="1291"/>
      <c r="L10" s="1775">
        <f>SUM(C10:K10)</f>
        <v>5605</v>
      </c>
      <c r="M10" s="4"/>
      <c r="N10" s="4"/>
      <c r="O10"/>
      <c r="P10"/>
      <c r="Q10"/>
      <c r="R10"/>
      <c r="S10"/>
      <c r="T10"/>
    </row>
    <row r="11" spans="1:20" ht="0.2" customHeight="1" x14ac:dyDescent="0.2">
      <c r="A11" s="1772"/>
      <c r="B11" s="1773" t="s">
        <v>393</v>
      </c>
      <c r="C11" s="1521"/>
      <c r="D11" s="1521"/>
      <c r="E11" s="1521"/>
      <c r="F11" s="1521"/>
      <c r="G11" s="1521"/>
      <c r="H11" s="1521"/>
      <c r="I11" s="1521"/>
      <c r="J11" s="1521"/>
      <c r="K11" s="1774"/>
      <c r="L11" s="1645">
        <f>SUM(C11:K11)</f>
        <v>0</v>
      </c>
      <c r="M11" s="4"/>
      <c r="N11" s="4"/>
      <c r="O11"/>
      <c r="P11"/>
      <c r="Q11"/>
      <c r="R11"/>
      <c r="S11"/>
      <c r="T11"/>
    </row>
    <row r="12" spans="1:20" ht="0.2" customHeight="1" x14ac:dyDescent="0.2">
      <c r="A12" s="448"/>
      <c r="B12" s="173" t="s">
        <v>391</v>
      </c>
      <c r="C12" s="255"/>
      <c r="D12" s="255"/>
      <c r="E12" s="255"/>
      <c r="F12" s="255"/>
      <c r="G12" s="255"/>
      <c r="H12" s="255"/>
      <c r="I12" s="255"/>
      <c r="J12" s="255"/>
      <c r="K12" s="1290"/>
      <c r="L12" s="1116">
        <f>SUM(C12:K12)</f>
        <v>0</v>
      </c>
      <c r="M12" s="4"/>
      <c r="N12" s="4"/>
      <c r="O12"/>
      <c r="P12"/>
      <c r="Q12"/>
      <c r="R12"/>
      <c r="S12"/>
      <c r="T12"/>
    </row>
    <row r="13" spans="1:20" ht="23.25" customHeight="1" x14ac:dyDescent="0.2">
      <c r="A13" s="654" t="s">
        <v>256</v>
      </c>
      <c r="B13" s="655" t="s">
        <v>304</v>
      </c>
      <c r="C13" s="255"/>
      <c r="D13" s="255"/>
      <c r="E13" s="255"/>
      <c r="F13" s="255"/>
      <c r="G13" s="255"/>
      <c r="H13" s="255"/>
      <c r="I13" s="255"/>
      <c r="J13" s="255"/>
      <c r="K13" s="1290"/>
      <c r="L13" s="1098"/>
      <c r="M13" s="4"/>
      <c r="N13" s="4"/>
      <c r="O13"/>
      <c r="P13"/>
      <c r="Q13"/>
      <c r="R13"/>
      <c r="S13"/>
      <c r="T13"/>
    </row>
    <row r="14" spans="1:20" ht="12.95" customHeight="1" thickBot="1" x14ac:dyDescent="0.25">
      <c r="A14" s="1659"/>
      <c r="B14" s="630" t="s">
        <v>392</v>
      </c>
      <c r="C14" s="631">
        <f>SUM('5.a.sz. melléklet'!C15)</f>
        <v>17277</v>
      </c>
      <c r="D14" s="631"/>
      <c r="E14" s="631">
        <f>SUM('5.a.sz. melléklet'!E15)</f>
        <v>484</v>
      </c>
      <c r="F14" s="631">
        <f>SUM('5.a.sz. melléklet'!F15)</f>
        <v>1100</v>
      </c>
      <c r="G14" s="631">
        <f>SUM('5.a.sz. melléklet'!G15)</f>
        <v>240017</v>
      </c>
      <c r="H14" s="631">
        <f>SUM('5.a.sz. melléklet'!H15)</f>
        <v>0</v>
      </c>
      <c r="I14" s="631">
        <f>SUM('5.a.sz. melléklet'!I15)</f>
        <v>30430</v>
      </c>
      <c r="J14" s="631"/>
      <c r="K14" s="1291">
        <f>SUM('5.a.sz. melléklet'!K15)</f>
        <v>100000</v>
      </c>
      <c r="L14" s="1775">
        <f>SUM(C14:K14)</f>
        <v>389308</v>
      </c>
      <c r="M14" s="4"/>
      <c r="N14" s="4"/>
      <c r="O14"/>
      <c r="P14"/>
      <c r="Q14"/>
      <c r="R14"/>
      <c r="S14"/>
      <c r="T14"/>
    </row>
    <row r="15" spans="1:20" ht="0.2" customHeight="1" x14ac:dyDescent="0.2">
      <c r="A15" s="1772"/>
      <c r="B15" s="1773" t="s">
        <v>393</v>
      </c>
      <c r="C15" s="1521"/>
      <c r="D15" s="1521"/>
      <c r="E15" s="1521"/>
      <c r="F15" s="1521"/>
      <c r="G15" s="1521"/>
      <c r="H15" s="1521"/>
      <c r="I15" s="1521"/>
      <c r="J15" s="1521"/>
      <c r="K15" s="1774"/>
      <c r="L15" s="1098">
        <f>SUM(C15:K15)</f>
        <v>0</v>
      </c>
      <c r="M15" s="4"/>
      <c r="N15" s="4"/>
      <c r="O15"/>
      <c r="P15"/>
      <c r="Q15"/>
      <c r="R15"/>
      <c r="S15"/>
      <c r="T15"/>
    </row>
    <row r="16" spans="1:20" ht="0.2" customHeight="1" x14ac:dyDescent="0.2">
      <c r="A16" s="448"/>
      <c r="B16" s="173" t="s">
        <v>391</v>
      </c>
      <c r="C16" s="255"/>
      <c r="D16" s="255"/>
      <c r="E16" s="255"/>
      <c r="F16" s="255"/>
      <c r="G16" s="255"/>
      <c r="H16" s="255"/>
      <c r="I16" s="255"/>
      <c r="J16" s="255"/>
      <c r="K16" s="1290"/>
      <c r="L16" s="1098">
        <f>SUM(C16:K16)</f>
        <v>0</v>
      </c>
      <c r="M16" s="4"/>
      <c r="N16" s="4"/>
      <c r="O16"/>
      <c r="P16"/>
      <c r="Q16"/>
      <c r="R16"/>
      <c r="S16"/>
      <c r="T16"/>
    </row>
    <row r="17" spans="1:20" ht="23.25" customHeight="1" x14ac:dyDescent="0.2">
      <c r="A17" s="654" t="s">
        <v>325</v>
      </c>
      <c r="B17" s="655" t="s">
        <v>611</v>
      </c>
      <c r="C17" s="255"/>
      <c r="D17" s="255"/>
      <c r="E17" s="255"/>
      <c r="F17" s="255"/>
      <c r="G17" s="255"/>
      <c r="H17" s="255"/>
      <c r="I17" s="255"/>
      <c r="J17" s="255"/>
      <c r="K17" s="1290"/>
      <c r="L17" s="1098"/>
      <c r="M17" s="4"/>
      <c r="N17" s="4"/>
      <c r="O17"/>
      <c r="P17"/>
      <c r="Q17"/>
      <c r="R17"/>
      <c r="S17"/>
      <c r="T17"/>
    </row>
    <row r="18" spans="1:20" ht="12.95" customHeight="1" thickBot="1" x14ac:dyDescent="0.25">
      <c r="A18" s="1659"/>
      <c r="B18" s="630" t="s">
        <v>392</v>
      </c>
      <c r="C18" s="631"/>
      <c r="D18" s="631"/>
      <c r="E18" s="631">
        <f>SUM('5.a.sz. melléklet'!E19)</f>
        <v>199</v>
      </c>
      <c r="F18" s="631"/>
      <c r="G18" s="631"/>
      <c r="H18" s="631"/>
      <c r="I18" s="631"/>
      <c r="J18" s="631"/>
      <c r="K18" s="1291"/>
      <c r="L18" s="1775">
        <f>SUM(C18:K18)</f>
        <v>199</v>
      </c>
      <c r="M18" s="4"/>
      <c r="N18" s="4"/>
      <c r="O18"/>
      <c r="P18"/>
      <c r="Q18"/>
      <c r="R18"/>
      <c r="S18"/>
      <c r="T18"/>
    </row>
    <row r="19" spans="1:20" ht="0.2" customHeight="1" x14ac:dyDescent="0.2">
      <c r="A19" s="1772"/>
      <c r="B19" s="1773" t="s">
        <v>393</v>
      </c>
      <c r="C19" s="1521"/>
      <c r="D19" s="1521"/>
      <c r="E19" s="1521"/>
      <c r="F19" s="1521"/>
      <c r="G19" s="1521"/>
      <c r="H19" s="1521"/>
      <c r="I19" s="1521"/>
      <c r="J19" s="1521"/>
      <c r="K19" s="1774"/>
      <c r="L19" s="1098">
        <f>SUM(C19:K19)</f>
        <v>0</v>
      </c>
      <c r="M19" s="4"/>
      <c r="N19" s="4"/>
      <c r="O19"/>
      <c r="P19"/>
      <c r="Q19"/>
      <c r="R19"/>
      <c r="S19"/>
      <c r="T19"/>
    </row>
    <row r="20" spans="1:20" ht="0.2" customHeight="1" x14ac:dyDescent="0.2">
      <c r="A20" s="448"/>
      <c r="B20" s="173" t="s">
        <v>391</v>
      </c>
      <c r="C20" s="255"/>
      <c r="D20" s="255"/>
      <c r="E20" s="255"/>
      <c r="F20" s="255"/>
      <c r="G20" s="255"/>
      <c r="H20" s="255"/>
      <c r="I20" s="255"/>
      <c r="J20" s="255"/>
      <c r="K20" s="1290"/>
      <c r="L20" s="1098">
        <f>SUM(C20:K20)</f>
        <v>0</v>
      </c>
      <c r="M20" s="4"/>
      <c r="N20" s="4"/>
      <c r="O20"/>
      <c r="P20"/>
      <c r="Q20"/>
      <c r="R20"/>
      <c r="S20"/>
      <c r="T20"/>
    </row>
    <row r="21" spans="1:20" ht="12.95" customHeight="1" x14ac:dyDescent="0.2">
      <c r="A21" s="1389" t="s">
        <v>305</v>
      </c>
      <c r="B21" s="656" t="s">
        <v>306</v>
      </c>
      <c r="C21" s="255"/>
      <c r="D21" s="255"/>
      <c r="E21" s="255"/>
      <c r="F21" s="255"/>
      <c r="G21" s="255"/>
      <c r="H21" s="255"/>
      <c r="I21" s="255"/>
      <c r="J21" s="255"/>
      <c r="K21" s="1290"/>
      <c r="L21" s="1098"/>
      <c r="M21" s="4"/>
      <c r="N21" s="4"/>
      <c r="O21"/>
      <c r="P21"/>
      <c r="Q21"/>
      <c r="R21"/>
      <c r="S21"/>
      <c r="T21"/>
    </row>
    <row r="22" spans="1:20" ht="12.95" customHeight="1" thickBot="1" x14ac:dyDescent="0.25">
      <c r="A22" s="1661"/>
      <c r="B22" s="630" t="s">
        <v>392</v>
      </c>
      <c r="C22" s="631"/>
      <c r="D22" s="631"/>
      <c r="E22" s="631"/>
      <c r="F22" s="631"/>
      <c r="G22" s="631"/>
      <c r="H22" s="631"/>
      <c r="I22" s="631"/>
      <c r="J22" s="631">
        <f>SUM('5.a.sz. melléklet'!J23)</f>
        <v>350000</v>
      </c>
      <c r="K22" s="1291"/>
      <c r="L22" s="1775">
        <f>SUM(C22:K22)</f>
        <v>350000</v>
      </c>
      <c r="M22" s="4"/>
      <c r="N22" s="4"/>
      <c r="O22"/>
      <c r="P22"/>
      <c r="Q22"/>
      <c r="R22"/>
      <c r="S22"/>
      <c r="T22"/>
    </row>
    <row r="23" spans="1:20" ht="0.2" customHeight="1" x14ac:dyDescent="0.2">
      <c r="A23" s="1817"/>
      <c r="B23" s="1773" t="s">
        <v>393</v>
      </c>
      <c r="C23" s="1521"/>
      <c r="D23" s="1521"/>
      <c r="E23" s="1521"/>
      <c r="F23" s="1521"/>
      <c r="G23" s="1521"/>
      <c r="H23" s="1521"/>
      <c r="I23" s="1521"/>
      <c r="J23" s="1521"/>
      <c r="K23" s="1774"/>
      <c r="L23" s="1098">
        <f>SUM(C23:K23)</f>
        <v>0</v>
      </c>
      <c r="M23" s="4"/>
      <c r="N23" s="4"/>
      <c r="O23"/>
      <c r="P23"/>
      <c r="Q23"/>
      <c r="R23"/>
      <c r="S23"/>
      <c r="T23"/>
    </row>
    <row r="24" spans="1:20" ht="0.2" customHeight="1" x14ac:dyDescent="0.2">
      <c r="A24" s="458"/>
      <c r="B24" s="173" t="s">
        <v>391</v>
      </c>
      <c r="C24" s="255"/>
      <c r="D24" s="255"/>
      <c r="E24" s="255"/>
      <c r="F24" s="255"/>
      <c r="G24" s="255"/>
      <c r="H24" s="255"/>
      <c r="I24" s="255"/>
      <c r="J24" s="255"/>
      <c r="K24" s="1290"/>
      <c r="L24" s="1098">
        <f>SUM(C24:K24)</f>
        <v>0</v>
      </c>
      <c r="M24" s="4"/>
      <c r="N24" s="4"/>
      <c r="O24"/>
      <c r="P24"/>
      <c r="Q24"/>
      <c r="R24"/>
      <c r="S24"/>
      <c r="T24"/>
    </row>
    <row r="25" spans="1:20" ht="21.75" customHeight="1" x14ac:dyDescent="0.2">
      <c r="A25" s="654" t="s">
        <v>270</v>
      </c>
      <c r="B25" s="655" t="s">
        <v>168</v>
      </c>
      <c r="C25" s="1094"/>
      <c r="D25" s="1095"/>
      <c r="E25" s="1095"/>
      <c r="F25" s="1095"/>
      <c r="G25" s="1095"/>
      <c r="H25" s="1095"/>
      <c r="I25" s="1095"/>
      <c r="J25" s="1095"/>
      <c r="K25" s="1375"/>
      <c r="L25" s="1098"/>
      <c r="M25"/>
      <c r="N25"/>
      <c r="O25"/>
      <c r="P25"/>
      <c r="Q25"/>
      <c r="R25"/>
      <c r="S25"/>
      <c r="T25"/>
    </row>
    <row r="26" spans="1:20" ht="12.95" customHeight="1" thickBot="1" x14ac:dyDescent="0.25">
      <c r="A26" s="1659"/>
      <c r="B26" s="630" t="s">
        <v>392</v>
      </c>
      <c r="C26" s="1662">
        <f>SUM('5.a.sz. melléklet'!C43)</f>
        <v>8351</v>
      </c>
      <c r="D26" s="1663"/>
      <c r="E26" s="1663"/>
      <c r="F26" s="1663"/>
      <c r="G26" s="1663"/>
      <c r="H26" s="1663"/>
      <c r="I26" s="1663"/>
      <c r="J26" s="1663"/>
      <c r="K26" s="1664"/>
      <c r="L26" s="1775">
        <f>SUM(C26:K26)</f>
        <v>8351</v>
      </c>
      <c r="M26"/>
      <c r="N26"/>
      <c r="O26"/>
      <c r="P26"/>
      <c r="Q26"/>
      <c r="R26"/>
      <c r="S26"/>
      <c r="T26"/>
    </row>
    <row r="27" spans="1:20" ht="0.2" customHeight="1" x14ac:dyDescent="0.2">
      <c r="A27" s="1772"/>
      <c r="B27" s="1773" t="s">
        <v>393</v>
      </c>
      <c r="C27" s="1818"/>
      <c r="D27" s="1819"/>
      <c r="E27" s="1819"/>
      <c r="F27" s="1819"/>
      <c r="G27" s="1819"/>
      <c r="H27" s="1819"/>
      <c r="I27" s="1819"/>
      <c r="J27" s="1819"/>
      <c r="K27" s="1820"/>
      <c r="L27" s="1098">
        <f>SUM(C27:K27)</f>
        <v>0</v>
      </c>
      <c r="M27"/>
      <c r="N27"/>
      <c r="O27"/>
      <c r="P27"/>
      <c r="Q27"/>
      <c r="R27"/>
      <c r="S27"/>
      <c r="T27"/>
    </row>
    <row r="28" spans="1:20" ht="0.2" customHeight="1" x14ac:dyDescent="0.2">
      <c r="A28" s="448"/>
      <c r="B28" s="173" t="s">
        <v>391</v>
      </c>
      <c r="C28" s="1094"/>
      <c r="D28" s="1095"/>
      <c r="E28" s="1095"/>
      <c r="F28" s="1095"/>
      <c r="G28" s="1094"/>
      <c r="H28" s="1094"/>
      <c r="I28" s="1095"/>
      <c r="J28" s="1095"/>
      <c r="K28" s="1375"/>
      <c r="L28" s="1098">
        <f>SUM(C28:K28)</f>
        <v>0</v>
      </c>
      <c r="M28"/>
      <c r="N28"/>
      <c r="O28"/>
      <c r="P28"/>
      <c r="Q28"/>
      <c r="R28"/>
      <c r="S28"/>
      <c r="T28"/>
    </row>
    <row r="29" spans="1:20" ht="21.75" customHeight="1" x14ac:dyDescent="0.2">
      <c r="A29" s="654" t="s">
        <v>271</v>
      </c>
      <c r="B29" s="655" t="s">
        <v>303</v>
      </c>
      <c r="C29" s="1094"/>
      <c r="D29" s="1095"/>
      <c r="E29" s="1095"/>
      <c r="F29" s="1095"/>
      <c r="G29" s="1095"/>
      <c r="H29" s="1095"/>
      <c r="I29" s="1095"/>
      <c r="J29" s="1095"/>
      <c r="K29" s="1375"/>
      <c r="L29" s="1098"/>
      <c r="M29"/>
      <c r="N29"/>
      <c r="O29"/>
      <c r="P29"/>
      <c r="Q29"/>
      <c r="R29"/>
      <c r="S29"/>
      <c r="T29"/>
    </row>
    <row r="30" spans="1:20" ht="12.95" customHeight="1" thickBot="1" x14ac:dyDescent="0.25">
      <c r="A30" s="1659"/>
      <c r="B30" s="630" t="s">
        <v>392</v>
      </c>
      <c r="C30" s="1662">
        <f>SUM('5.a.sz. melléklet'!C47)</f>
        <v>8460</v>
      </c>
      <c r="D30" s="1663"/>
      <c r="E30" s="1663"/>
      <c r="F30" s="1663"/>
      <c r="G30" s="1663"/>
      <c r="H30" s="1663"/>
      <c r="I30" s="1663"/>
      <c r="J30" s="1663"/>
      <c r="K30" s="1664"/>
      <c r="L30" s="1775">
        <f>SUM(C30:K30)</f>
        <v>8460</v>
      </c>
      <c r="M30"/>
      <c r="N30"/>
      <c r="O30"/>
      <c r="P30"/>
      <c r="Q30"/>
      <c r="R30"/>
      <c r="S30"/>
      <c r="T30"/>
    </row>
    <row r="31" spans="1:20" ht="0.2" customHeight="1" x14ac:dyDescent="0.2">
      <c r="A31" s="1772"/>
      <c r="B31" s="1773" t="s">
        <v>393</v>
      </c>
      <c r="C31" s="1818"/>
      <c r="D31" s="1819"/>
      <c r="E31" s="1819"/>
      <c r="F31" s="1819"/>
      <c r="G31" s="1819"/>
      <c r="H31" s="1821"/>
      <c r="I31" s="1819"/>
      <c r="J31" s="1819"/>
      <c r="K31" s="1820"/>
      <c r="L31" s="1098">
        <f>SUM(C31:K31)</f>
        <v>0</v>
      </c>
      <c r="M31"/>
      <c r="N31"/>
      <c r="O31"/>
      <c r="P31"/>
      <c r="Q31"/>
      <c r="R31"/>
      <c r="S31"/>
      <c r="T31"/>
    </row>
    <row r="32" spans="1:20" ht="0.2" customHeight="1" x14ac:dyDescent="0.2">
      <c r="A32" s="448"/>
      <c r="B32" s="173" t="s">
        <v>391</v>
      </c>
      <c r="C32" s="1094"/>
      <c r="D32" s="1095"/>
      <c r="E32" s="1095"/>
      <c r="F32" s="1095"/>
      <c r="G32" s="1095"/>
      <c r="H32" s="1390"/>
      <c r="I32" s="1095"/>
      <c r="J32" s="1095"/>
      <c r="K32" s="1375"/>
      <c r="L32" s="1098">
        <f>SUM(C32:K32)</f>
        <v>0</v>
      </c>
      <c r="M32"/>
      <c r="N32"/>
      <c r="O32"/>
      <c r="P32"/>
      <c r="Q32"/>
      <c r="R32"/>
      <c r="S32"/>
      <c r="T32"/>
    </row>
    <row r="33" spans="1:20" ht="12.95" customHeight="1" x14ac:dyDescent="0.2">
      <c r="A33" s="654" t="s">
        <v>262</v>
      </c>
      <c r="B33" s="655" t="s">
        <v>323</v>
      </c>
      <c r="C33" s="255"/>
      <c r="D33" s="255"/>
      <c r="E33" s="255"/>
      <c r="F33" s="255"/>
      <c r="G33" s="255"/>
      <c r="H33" s="255"/>
      <c r="I33" s="255"/>
      <c r="J33" s="255"/>
      <c r="K33" s="1290"/>
      <c r="L33" s="1098"/>
      <c r="M33" s="4"/>
      <c r="N33" s="4"/>
      <c r="O33"/>
      <c r="P33"/>
      <c r="Q33"/>
      <c r="R33"/>
      <c r="S33"/>
      <c r="T33"/>
    </row>
    <row r="34" spans="1:20" ht="12.95" customHeight="1" thickBot="1" x14ac:dyDescent="0.25">
      <c r="A34" s="1659"/>
      <c r="B34" s="630" t="s">
        <v>392</v>
      </c>
      <c r="C34" s="631"/>
      <c r="D34" s="631"/>
      <c r="E34" s="631"/>
      <c r="F34" s="631"/>
      <c r="G34" s="631"/>
      <c r="H34" s="631"/>
      <c r="I34" s="631"/>
      <c r="J34" s="631"/>
      <c r="K34" s="1291"/>
      <c r="L34" s="1775">
        <f>SUM(C34:K34)</f>
        <v>0</v>
      </c>
      <c r="M34" s="4"/>
      <c r="N34" s="4"/>
      <c r="O34"/>
      <c r="P34"/>
      <c r="Q34"/>
      <c r="R34"/>
      <c r="S34"/>
      <c r="T34"/>
    </row>
    <row r="35" spans="1:20" ht="0.2" customHeight="1" x14ac:dyDescent="0.2">
      <c r="A35" s="1772"/>
      <c r="B35" s="1773" t="s">
        <v>393</v>
      </c>
      <c r="C35" s="1521"/>
      <c r="D35" s="1521"/>
      <c r="E35" s="1521"/>
      <c r="F35" s="1521"/>
      <c r="G35" s="1521"/>
      <c r="H35" s="1521"/>
      <c r="I35" s="1521"/>
      <c r="J35" s="1521"/>
      <c r="K35" s="1774"/>
      <c r="L35" s="1098">
        <f>SUM(C35:K35)</f>
        <v>0</v>
      </c>
      <c r="M35" s="4"/>
      <c r="N35" s="4"/>
      <c r="O35"/>
      <c r="P35"/>
      <c r="Q35"/>
      <c r="R35"/>
      <c r="S35"/>
      <c r="T35"/>
    </row>
    <row r="36" spans="1:20" ht="0.2" customHeight="1" x14ac:dyDescent="0.2">
      <c r="A36" s="448"/>
      <c r="B36" s="173" t="s">
        <v>391</v>
      </c>
      <c r="C36" s="255"/>
      <c r="D36" s="255"/>
      <c r="E36" s="255"/>
      <c r="F36" s="255"/>
      <c r="G36" s="255"/>
      <c r="H36" s="255"/>
      <c r="I36" s="255"/>
      <c r="J36" s="255"/>
      <c r="K36" s="1290"/>
      <c r="L36" s="1098">
        <f>SUM(C36:K36)</f>
        <v>0</v>
      </c>
      <c r="M36" s="4"/>
      <c r="N36" s="4"/>
      <c r="O36"/>
      <c r="P36"/>
      <c r="Q36"/>
      <c r="R36"/>
      <c r="S36"/>
      <c r="T36"/>
    </row>
    <row r="37" spans="1:20" ht="12.95" customHeight="1" x14ac:dyDescent="0.2">
      <c r="A37" s="654" t="s">
        <v>273</v>
      </c>
      <c r="B37" s="655" t="s">
        <v>274</v>
      </c>
      <c r="C37" s="255"/>
      <c r="D37" s="255"/>
      <c r="E37" s="255"/>
      <c r="F37" s="255"/>
      <c r="G37" s="255"/>
      <c r="H37" s="255"/>
      <c r="I37" s="255"/>
      <c r="J37" s="255"/>
      <c r="K37" s="1290"/>
      <c r="L37" s="1098"/>
      <c r="M37" s="4"/>
      <c r="N37" s="4"/>
      <c r="O37"/>
      <c r="P37"/>
      <c r="Q37"/>
      <c r="R37"/>
      <c r="S37"/>
      <c r="T37"/>
    </row>
    <row r="38" spans="1:20" ht="12.95" customHeight="1" thickBot="1" x14ac:dyDescent="0.25">
      <c r="A38" s="1659"/>
      <c r="B38" s="630" t="s">
        <v>392</v>
      </c>
      <c r="C38" s="631"/>
      <c r="D38" s="631"/>
      <c r="E38" s="631"/>
      <c r="F38" s="631"/>
      <c r="G38" s="631"/>
      <c r="H38" s="631"/>
      <c r="I38" s="631"/>
      <c r="J38" s="631"/>
      <c r="K38" s="1291"/>
      <c r="L38" s="1775">
        <f>SUM(C38:K38)</f>
        <v>0</v>
      </c>
      <c r="M38" s="4"/>
      <c r="N38" s="4"/>
      <c r="O38"/>
      <c r="P38"/>
      <c r="Q38"/>
      <c r="R38"/>
      <c r="S38"/>
      <c r="T38"/>
    </row>
    <row r="39" spans="1:20" ht="0.2" customHeight="1" x14ac:dyDescent="0.2">
      <c r="A39" s="1772"/>
      <c r="B39" s="1773" t="s">
        <v>393</v>
      </c>
      <c r="C39" s="1521"/>
      <c r="D39" s="1521"/>
      <c r="E39" s="1521"/>
      <c r="F39" s="1521"/>
      <c r="G39" s="1521"/>
      <c r="H39" s="1521"/>
      <c r="I39" s="1521"/>
      <c r="J39" s="1521"/>
      <c r="K39" s="1774"/>
      <c r="L39" s="1098">
        <f>SUM(C39:K39)</f>
        <v>0</v>
      </c>
      <c r="M39" s="4"/>
      <c r="N39" s="4"/>
      <c r="O39"/>
      <c r="P39"/>
      <c r="Q39"/>
      <c r="R39"/>
      <c r="S39"/>
      <c r="T39"/>
    </row>
    <row r="40" spans="1:20" ht="0.2" customHeight="1" x14ac:dyDescent="0.2">
      <c r="A40" s="448"/>
      <c r="B40" s="173" t="s">
        <v>391</v>
      </c>
      <c r="C40" s="255"/>
      <c r="D40" s="255"/>
      <c r="E40" s="255"/>
      <c r="F40" s="255"/>
      <c r="G40" s="255"/>
      <c r="H40" s="255"/>
      <c r="I40" s="255"/>
      <c r="J40" s="255"/>
      <c r="K40" s="1290"/>
      <c r="L40" s="1098">
        <f>SUM(C40:K40)</f>
        <v>0</v>
      </c>
      <c r="M40" s="4"/>
      <c r="N40" s="4"/>
      <c r="O40"/>
      <c r="P40"/>
      <c r="Q40"/>
      <c r="R40"/>
      <c r="S40"/>
      <c r="T40"/>
    </row>
    <row r="41" spans="1:20" ht="12.95" customHeight="1" x14ac:dyDescent="0.2">
      <c r="A41" s="654" t="s">
        <v>324</v>
      </c>
      <c r="B41" s="655" t="s">
        <v>113</v>
      </c>
      <c r="C41" s="255"/>
      <c r="D41" s="255"/>
      <c r="E41" s="255"/>
      <c r="F41" s="255"/>
      <c r="G41" s="255"/>
      <c r="H41" s="255"/>
      <c r="I41" s="255"/>
      <c r="J41" s="255"/>
      <c r="K41" s="1290"/>
      <c r="L41" s="1098"/>
      <c r="M41" s="4"/>
      <c r="N41" s="4"/>
      <c r="O41"/>
      <c r="P41"/>
      <c r="Q41"/>
      <c r="R41"/>
      <c r="S41"/>
      <c r="T41"/>
    </row>
    <row r="42" spans="1:20" ht="12.95" customHeight="1" thickBot="1" x14ac:dyDescent="0.25">
      <c r="A42" s="1659"/>
      <c r="B42" s="630" t="s">
        <v>392</v>
      </c>
      <c r="C42" s="631">
        <f>SUM('5.a.sz. melléklet'!C59)</f>
        <v>980</v>
      </c>
      <c r="D42" s="631"/>
      <c r="E42" s="631"/>
      <c r="F42" s="631"/>
      <c r="G42" s="631"/>
      <c r="H42" s="631"/>
      <c r="I42" s="631"/>
      <c r="J42" s="631"/>
      <c r="K42" s="1291"/>
      <c r="L42" s="1775">
        <f>SUM(C42:K42)</f>
        <v>980</v>
      </c>
      <c r="M42" s="4"/>
      <c r="N42" s="4"/>
      <c r="O42"/>
      <c r="P42"/>
      <c r="Q42"/>
      <c r="R42"/>
      <c r="S42"/>
      <c r="T42"/>
    </row>
    <row r="43" spans="1:20" ht="0.2" customHeight="1" x14ac:dyDescent="0.2">
      <c r="A43" s="1772"/>
      <c r="B43" s="1773" t="s">
        <v>393</v>
      </c>
      <c r="C43" s="1521"/>
      <c r="D43" s="1521"/>
      <c r="E43" s="1521"/>
      <c r="F43" s="1521"/>
      <c r="G43" s="1521"/>
      <c r="H43" s="1521"/>
      <c r="I43" s="1521"/>
      <c r="J43" s="1521"/>
      <c r="K43" s="1774"/>
      <c r="L43" s="1098">
        <f>SUM(C43:K43)</f>
        <v>0</v>
      </c>
      <c r="M43" s="4"/>
      <c r="N43" s="4"/>
      <c r="O43"/>
      <c r="P43"/>
      <c r="Q43"/>
      <c r="R43"/>
      <c r="S43"/>
      <c r="T43"/>
    </row>
    <row r="44" spans="1:20" ht="0.2" customHeight="1" x14ac:dyDescent="0.2">
      <c r="A44" s="448"/>
      <c r="B44" s="173" t="s">
        <v>391</v>
      </c>
      <c r="C44" s="255"/>
      <c r="D44" s="255"/>
      <c r="E44" s="255"/>
      <c r="F44" s="255"/>
      <c r="G44" s="255"/>
      <c r="H44" s="255"/>
      <c r="I44" s="255"/>
      <c r="J44" s="255"/>
      <c r="K44" s="1290"/>
      <c r="L44" s="1098">
        <f>SUM(C44:K44)</f>
        <v>0</v>
      </c>
      <c r="M44" s="4"/>
      <c r="N44" s="4"/>
      <c r="O44"/>
      <c r="P44"/>
      <c r="Q44"/>
      <c r="R44"/>
      <c r="S44"/>
      <c r="T44"/>
    </row>
    <row r="45" spans="1:20" ht="22.5" customHeight="1" x14ac:dyDescent="0.2">
      <c r="A45" s="654" t="s">
        <v>278</v>
      </c>
      <c r="B45" s="655" t="s">
        <v>170</v>
      </c>
      <c r="C45" s="255"/>
      <c r="D45" s="255"/>
      <c r="E45" s="255"/>
      <c r="F45" s="255"/>
      <c r="G45" s="255"/>
      <c r="H45" s="255"/>
      <c r="I45" s="255"/>
      <c r="J45" s="255"/>
      <c r="K45" s="1290"/>
      <c r="L45" s="1098"/>
      <c r="M45" s="4"/>
      <c r="N45" s="4"/>
      <c r="O45"/>
      <c r="P45"/>
      <c r="Q45"/>
      <c r="R45"/>
      <c r="S45"/>
      <c r="T45"/>
    </row>
    <row r="46" spans="1:20" ht="12.95" customHeight="1" thickBot="1" x14ac:dyDescent="0.25">
      <c r="A46" s="1659"/>
      <c r="B46" s="630" t="s">
        <v>392</v>
      </c>
      <c r="C46" s="631"/>
      <c r="D46" s="631"/>
      <c r="E46" s="631"/>
      <c r="F46" s="631">
        <f>SUM('5.a.sz. melléklet'!F63)</f>
        <v>8544</v>
      </c>
      <c r="G46" s="631"/>
      <c r="H46" s="631"/>
      <c r="I46" s="631"/>
      <c r="J46" s="631"/>
      <c r="K46" s="1291"/>
      <c r="L46" s="1775">
        <f>SUM(C46:K46)</f>
        <v>8544</v>
      </c>
      <c r="M46" s="4"/>
      <c r="N46" s="4"/>
      <c r="O46"/>
      <c r="P46"/>
      <c r="Q46"/>
      <c r="R46"/>
      <c r="S46"/>
      <c r="T46"/>
    </row>
    <row r="47" spans="1:20" ht="0.2" customHeight="1" x14ac:dyDescent="0.2">
      <c r="A47" s="1772"/>
      <c r="B47" s="1773" t="s">
        <v>393</v>
      </c>
      <c r="C47" s="1521"/>
      <c r="D47" s="1521"/>
      <c r="E47" s="1521"/>
      <c r="F47" s="1521"/>
      <c r="G47" s="1521"/>
      <c r="H47" s="1521"/>
      <c r="I47" s="1521"/>
      <c r="J47" s="1521"/>
      <c r="K47" s="1774"/>
      <c r="L47" s="1098">
        <f>SUM(C47:K47)</f>
        <v>0</v>
      </c>
      <c r="M47" s="4"/>
      <c r="N47" s="4"/>
      <c r="O47"/>
      <c r="P47"/>
      <c r="Q47"/>
      <c r="R47"/>
      <c r="S47"/>
      <c r="T47"/>
    </row>
    <row r="48" spans="1:20" ht="0.2" customHeight="1" x14ac:dyDescent="0.2">
      <c r="A48" s="448"/>
      <c r="B48" s="173" t="s">
        <v>391</v>
      </c>
      <c r="C48" s="255"/>
      <c r="D48" s="255"/>
      <c r="E48" s="255"/>
      <c r="F48" s="255"/>
      <c r="G48" s="255"/>
      <c r="H48" s="255"/>
      <c r="I48" s="255"/>
      <c r="J48" s="255"/>
      <c r="K48" s="1290"/>
      <c r="L48" s="1098">
        <f>SUM(C48:K48)</f>
        <v>0</v>
      </c>
      <c r="M48" s="4"/>
      <c r="N48" s="4"/>
      <c r="O48"/>
      <c r="P48"/>
      <c r="Q48"/>
      <c r="R48"/>
      <c r="S48"/>
      <c r="T48"/>
    </row>
    <row r="49" spans="1:20" ht="21.75" customHeight="1" x14ac:dyDescent="0.2">
      <c r="A49" s="654" t="s">
        <v>279</v>
      </c>
      <c r="B49" s="655" t="s">
        <v>339</v>
      </c>
      <c r="C49" s="255"/>
      <c r="D49" s="255"/>
      <c r="E49" s="255"/>
      <c r="F49" s="255"/>
      <c r="G49" s="255"/>
      <c r="H49" s="255"/>
      <c r="I49" s="255"/>
      <c r="J49" s="255"/>
      <c r="K49" s="1290"/>
      <c r="L49" s="1098"/>
      <c r="M49" s="4"/>
      <c r="N49" s="4"/>
      <c r="O49"/>
      <c r="P49"/>
      <c r="Q49"/>
      <c r="R49"/>
      <c r="S49"/>
      <c r="T49"/>
    </row>
    <row r="50" spans="1:20" ht="12.95" customHeight="1" thickBot="1" x14ac:dyDescent="0.25">
      <c r="A50" s="1659"/>
      <c r="B50" s="630" t="s">
        <v>392</v>
      </c>
      <c r="C50" s="631"/>
      <c r="D50" s="631"/>
      <c r="E50" s="631"/>
      <c r="F50" s="631">
        <f>SUM('5.a.sz. melléklet'!F67)</f>
        <v>336</v>
      </c>
      <c r="G50" s="631"/>
      <c r="H50" s="631"/>
      <c r="I50" s="631"/>
      <c r="J50" s="631"/>
      <c r="K50" s="1291"/>
      <c r="L50" s="1775">
        <f>SUM(C50:K50)</f>
        <v>336</v>
      </c>
      <c r="M50" s="4"/>
      <c r="N50" s="4"/>
      <c r="O50"/>
      <c r="P50"/>
      <c r="Q50"/>
      <c r="R50"/>
      <c r="S50"/>
      <c r="T50"/>
    </row>
    <row r="51" spans="1:20" ht="0.2" customHeight="1" x14ac:dyDescent="0.2">
      <c r="A51" s="1772"/>
      <c r="B51" s="1773" t="s">
        <v>393</v>
      </c>
      <c r="C51" s="1521"/>
      <c r="D51" s="1521"/>
      <c r="E51" s="1521"/>
      <c r="F51" s="1521"/>
      <c r="G51" s="1521"/>
      <c r="H51" s="1521"/>
      <c r="I51" s="1521"/>
      <c r="J51" s="1521"/>
      <c r="K51" s="1774"/>
      <c r="L51" s="1098">
        <f>SUM(C51:K51)</f>
        <v>0</v>
      </c>
      <c r="M51" s="4"/>
      <c r="N51" s="4"/>
      <c r="O51"/>
      <c r="P51"/>
      <c r="Q51"/>
      <c r="R51"/>
      <c r="S51"/>
      <c r="T51"/>
    </row>
    <row r="52" spans="1:20" ht="0.2" customHeight="1" x14ac:dyDescent="0.2">
      <c r="A52" s="448"/>
      <c r="B52" s="173" t="s">
        <v>391</v>
      </c>
      <c r="C52" s="255"/>
      <c r="D52" s="255"/>
      <c r="E52" s="255"/>
      <c r="F52" s="255"/>
      <c r="G52" s="255"/>
      <c r="H52" s="255"/>
      <c r="I52" s="255"/>
      <c r="J52" s="255"/>
      <c r="K52" s="1290"/>
      <c r="L52" s="1098">
        <f>SUM(C52:K52)</f>
        <v>0</v>
      </c>
      <c r="M52" s="4"/>
      <c r="N52" s="4"/>
      <c r="O52"/>
      <c r="P52"/>
      <c r="Q52"/>
      <c r="R52"/>
      <c r="S52"/>
      <c r="T52"/>
    </row>
    <row r="53" spans="1:20" ht="12.95" customHeight="1" x14ac:dyDescent="0.2">
      <c r="A53" s="734" t="s">
        <v>254</v>
      </c>
      <c r="B53" s="655" t="s">
        <v>4</v>
      </c>
      <c r="C53" s="255"/>
      <c r="D53" s="255"/>
      <c r="E53" s="255"/>
      <c r="F53" s="255"/>
      <c r="G53" s="255"/>
      <c r="H53" s="255"/>
      <c r="I53" s="255"/>
      <c r="J53" s="255"/>
      <c r="K53" s="1290"/>
      <c r="L53" s="1098"/>
      <c r="M53" s="4"/>
      <c r="N53" s="4"/>
      <c r="O53"/>
      <c r="P53"/>
      <c r="Q53"/>
      <c r="R53"/>
      <c r="S53"/>
      <c r="T53"/>
    </row>
    <row r="54" spans="1:20" ht="12.95" customHeight="1" thickBot="1" x14ac:dyDescent="0.25">
      <c r="A54" s="689"/>
      <c r="B54" s="1099" t="s">
        <v>392</v>
      </c>
      <c r="C54" s="631"/>
      <c r="D54" s="631"/>
      <c r="E54" s="631">
        <f>SUM('5.a.sz. melléklet'!E71)</f>
        <v>2000</v>
      </c>
      <c r="F54" s="631"/>
      <c r="G54" s="631"/>
      <c r="H54" s="631"/>
      <c r="I54" s="631"/>
      <c r="J54" s="631"/>
      <c r="K54" s="1291"/>
      <c r="L54" s="1775">
        <f>SUM(C54:K54)</f>
        <v>2000</v>
      </c>
      <c r="M54" s="4"/>
      <c r="N54" s="4"/>
      <c r="O54"/>
      <c r="P54"/>
      <c r="Q54"/>
      <c r="R54"/>
      <c r="S54"/>
      <c r="T54"/>
    </row>
    <row r="55" spans="1:20" ht="0.2" customHeight="1" x14ac:dyDescent="0.2">
      <c r="A55" s="1822"/>
      <c r="B55" s="700" t="s">
        <v>393</v>
      </c>
      <c r="C55" s="1521"/>
      <c r="D55" s="1521"/>
      <c r="E55" s="1521"/>
      <c r="F55" s="1521"/>
      <c r="G55" s="1521"/>
      <c r="H55" s="1521"/>
      <c r="I55" s="1521"/>
      <c r="J55" s="1521"/>
      <c r="K55" s="1774"/>
      <c r="L55" s="1098">
        <f>SUM(C55:K55)</f>
        <v>0</v>
      </c>
      <c r="M55" s="4"/>
      <c r="N55" s="4"/>
      <c r="O55"/>
      <c r="P55"/>
      <c r="Q55"/>
      <c r="R55"/>
      <c r="S55"/>
      <c r="T55"/>
    </row>
    <row r="56" spans="1:20" ht="0.2" customHeight="1" x14ac:dyDescent="0.2">
      <c r="A56" s="674"/>
      <c r="B56" s="678" t="s">
        <v>391</v>
      </c>
      <c r="C56" s="255"/>
      <c r="D56" s="255"/>
      <c r="E56" s="255"/>
      <c r="F56" s="255"/>
      <c r="G56" s="255"/>
      <c r="H56" s="255"/>
      <c r="I56" s="255"/>
      <c r="J56" s="255"/>
      <c r="K56" s="1290"/>
      <c r="L56" s="1097">
        <f>SUM(C56:K56)</f>
        <v>0</v>
      </c>
      <c r="M56" s="4"/>
      <c r="N56" s="4"/>
      <c r="O56"/>
      <c r="P56"/>
      <c r="Q56"/>
      <c r="R56"/>
      <c r="S56"/>
      <c r="T56"/>
    </row>
    <row r="57" spans="1:20" ht="12.95" customHeight="1" x14ac:dyDescent="0.2">
      <c r="A57" s="734" t="s">
        <v>255</v>
      </c>
      <c r="B57" s="655" t="s">
        <v>495</v>
      </c>
      <c r="C57" s="255"/>
      <c r="D57" s="255"/>
      <c r="E57" s="255"/>
      <c r="F57" s="255"/>
      <c r="G57" s="255"/>
      <c r="H57" s="255"/>
      <c r="I57" s="255"/>
      <c r="J57" s="255"/>
      <c r="K57" s="1290"/>
      <c r="L57" s="1098"/>
      <c r="M57" s="4"/>
      <c r="N57" s="4"/>
      <c r="O57"/>
      <c r="P57"/>
      <c r="Q57"/>
      <c r="R57"/>
      <c r="S57"/>
      <c r="T57"/>
    </row>
    <row r="58" spans="1:20" ht="12.95" customHeight="1" thickBot="1" x14ac:dyDescent="0.25">
      <c r="A58" s="689"/>
      <c r="B58" s="1099" t="s">
        <v>392</v>
      </c>
      <c r="C58" s="631"/>
      <c r="D58" s="631"/>
      <c r="E58" s="631">
        <f>SUM('5.a.sz. melléklet'!E75)</f>
        <v>4049</v>
      </c>
      <c r="F58" s="631"/>
      <c r="G58" s="631"/>
      <c r="H58" s="631"/>
      <c r="I58" s="631"/>
      <c r="J58" s="631"/>
      <c r="K58" s="1291"/>
      <c r="L58" s="1775">
        <f>SUM(C58:K58)</f>
        <v>4049</v>
      </c>
      <c r="M58" s="4"/>
      <c r="N58" s="4"/>
      <c r="O58"/>
      <c r="P58"/>
      <c r="Q58"/>
      <c r="R58"/>
      <c r="S58"/>
      <c r="T58"/>
    </row>
    <row r="59" spans="1:20" ht="0.2" customHeight="1" x14ac:dyDescent="0.2">
      <c r="A59" s="1822"/>
      <c r="B59" s="700" t="s">
        <v>393</v>
      </c>
      <c r="C59" s="1521"/>
      <c r="D59" s="1521"/>
      <c r="E59" s="1521"/>
      <c r="F59" s="1521"/>
      <c r="G59" s="1521"/>
      <c r="H59" s="1521"/>
      <c r="I59" s="1521"/>
      <c r="J59" s="1521"/>
      <c r="K59" s="1774"/>
      <c r="L59" s="1098">
        <f>SUM(E59:K59)</f>
        <v>0</v>
      </c>
      <c r="M59" s="4"/>
      <c r="N59" s="4"/>
      <c r="O59"/>
      <c r="P59"/>
      <c r="Q59"/>
      <c r="R59"/>
      <c r="S59"/>
      <c r="T59"/>
    </row>
    <row r="60" spans="1:20" ht="0.2" customHeight="1" thickBot="1" x14ac:dyDescent="0.25">
      <c r="A60" s="427"/>
      <c r="B60" s="173" t="s">
        <v>391</v>
      </c>
      <c r="C60" s="255"/>
      <c r="D60" s="255"/>
      <c r="E60" s="255"/>
      <c r="F60" s="255"/>
      <c r="G60" s="255"/>
      <c r="H60" s="255"/>
      <c r="I60" s="255"/>
      <c r="J60" s="255"/>
      <c r="K60" s="1290"/>
      <c r="L60" s="1097">
        <f>SUM(E60:K60)</f>
        <v>0</v>
      </c>
      <c r="M60" s="4"/>
      <c r="N60" s="4"/>
      <c r="O60"/>
      <c r="P60"/>
      <c r="Q60"/>
      <c r="R60"/>
      <c r="S60"/>
      <c r="T60"/>
    </row>
    <row r="61" spans="1:20" ht="12.95" customHeight="1" x14ac:dyDescent="0.2">
      <c r="A61" s="654" t="s">
        <v>282</v>
      </c>
      <c r="B61" s="655" t="s">
        <v>283</v>
      </c>
      <c r="C61" s="255"/>
      <c r="D61" s="255"/>
      <c r="E61" s="255"/>
      <c r="F61" s="255"/>
      <c r="G61" s="255"/>
      <c r="H61" s="255"/>
      <c r="I61" s="255"/>
      <c r="J61" s="255"/>
      <c r="K61" s="1290"/>
      <c r="L61" s="1115"/>
      <c r="M61" s="4"/>
      <c r="N61" s="4"/>
      <c r="O61"/>
      <c r="P61"/>
      <c r="Q61"/>
      <c r="R61"/>
      <c r="S61"/>
      <c r="T61"/>
    </row>
    <row r="62" spans="1:20" ht="12.95" customHeight="1" thickBot="1" x14ac:dyDescent="0.25">
      <c r="A62" s="1659"/>
      <c r="B62" s="630" t="s">
        <v>392</v>
      </c>
      <c r="C62" s="631">
        <f>SUM('5.a.sz. melléklet'!C79)</f>
        <v>381</v>
      </c>
      <c r="D62" s="631"/>
      <c r="E62" s="631"/>
      <c r="F62" s="631"/>
      <c r="G62" s="631"/>
      <c r="H62" s="631"/>
      <c r="I62" s="631"/>
      <c r="J62" s="631"/>
      <c r="K62" s="1291"/>
      <c r="L62" s="1775">
        <f>SUM(C62:K62)</f>
        <v>381</v>
      </c>
      <c r="M62" s="4"/>
      <c r="N62" s="4"/>
      <c r="O62"/>
      <c r="P62"/>
      <c r="Q62"/>
      <c r="R62"/>
      <c r="S62"/>
      <c r="T62"/>
    </row>
    <row r="63" spans="1:20" ht="0.2" customHeight="1" x14ac:dyDescent="0.2">
      <c r="A63" s="1772"/>
      <c r="B63" s="1773" t="s">
        <v>393</v>
      </c>
      <c r="C63" s="1521"/>
      <c r="D63" s="1521"/>
      <c r="E63" s="1521"/>
      <c r="F63" s="1521"/>
      <c r="G63" s="1521"/>
      <c r="H63" s="1521"/>
      <c r="I63" s="1521"/>
      <c r="J63" s="1521"/>
      <c r="K63" s="1774"/>
      <c r="L63" s="1098">
        <f>SUM(C63:K63)</f>
        <v>0</v>
      </c>
      <c r="M63" s="4"/>
      <c r="N63" s="4"/>
      <c r="O63"/>
      <c r="P63"/>
      <c r="Q63"/>
      <c r="R63"/>
      <c r="S63"/>
      <c r="T63"/>
    </row>
    <row r="64" spans="1:20" ht="0.2" customHeight="1" x14ac:dyDescent="0.2">
      <c r="A64" s="448"/>
      <c r="B64" s="173" t="s">
        <v>391</v>
      </c>
      <c r="C64" s="255"/>
      <c r="D64" s="255"/>
      <c r="E64" s="255"/>
      <c r="F64" s="255"/>
      <c r="G64" s="255"/>
      <c r="H64" s="255"/>
      <c r="I64" s="255"/>
      <c r="J64" s="255"/>
      <c r="K64" s="1290"/>
      <c r="L64" s="1097">
        <f>SUM(C64:K64)</f>
        <v>0</v>
      </c>
      <c r="M64" s="4"/>
      <c r="N64" s="4"/>
      <c r="O64"/>
      <c r="P64"/>
      <c r="Q64"/>
      <c r="R64"/>
      <c r="S64"/>
      <c r="T64"/>
    </row>
    <row r="65" spans="1:20" ht="12.95" customHeight="1" x14ac:dyDescent="0.2">
      <c r="A65" s="654" t="s">
        <v>298</v>
      </c>
      <c r="B65" s="655" t="s">
        <v>112</v>
      </c>
      <c r="C65" s="255"/>
      <c r="D65" s="255"/>
      <c r="E65" s="255"/>
      <c r="F65" s="255"/>
      <c r="G65" s="255"/>
      <c r="H65" s="255"/>
      <c r="I65" s="255"/>
      <c r="J65" s="255"/>
      <c r="K65" s="1290"/>
      <c r="L65" s="1098"/>
      <c r="M65" s="4"/>
      <c r="N65" s="4"/>
      <c r="O65"/>
      <c r="P65"/>
      <c r="Q65"/>
      <c r="R65"/>
      <c r="S65"/>
      <c r="T65"/>
    </row>
    <row r="66" spans="1:20" ht="12.95" customHeight="1" thickBot="1" x14ac:dyDescent="0.25">
      <c r="A66" s="1659"/>
      <c r="B66" s="630" t="s">
        <v>392</v>
      </c>
      <c r="C66" s="631"/>
      <c r="D66" s="631"/>
      <c r="E66" s="631"/>
      <c r="F66" s="631"/>
      <c r="G66" s="631"/>
      <c r="H66" s="631"/>
      <c r="I66" s="631"/>
      <c r="J66" s="631"/>
      <c r="K66" s="1291"/>
      <c r="L66" s="1775">
        <f>SUM(C66:K66)</f>
        <v>0</v>
      </c>
      <c r="M66" s="4"/>
      <c r="N66" s="4"/>
      <c r="O66"/>
      <c r="P66"/>
      <c r="Q66"/>
      <c r="R66"/>
      <c r="S66"/>
      <c r="T66"/>
    </row>
    <row r="67" spans="1:20" ht="0.2" customHeight="1" x14ac:dyDescent="0.2">
      <c r="A67" s="1772"/>
      <c r="B67" s="1773" t="s">
        <v>393</v>
      </c>
      <c r="C67" s="1521"/>
      <c r="D67" s="1521"/>
      <c r="E67" s="1521"/>
      <c r="F67" s="1521"/>
      <c r="G67" s="1521"/>
      <c r="H67" s="1521"/>
      <c r="I67" s="1521"/>
      <c r="J67" s="1521"/>
      <c r="K67" s="1774"/>
      <c r="L67" s="1098">
        <f>SUM(C67:K67)</f>
        <v>0</v>
      </c>
      <c r="M67" s="4"/>
      <c r="N67" s="4"/>
      <c r="O67"/>
      <c r="P67"/>
      <c r="Q67"/>
      <c r="R67"/>
      <c r="S67"/>
      <c r="T67"/>
    </row>
    <row r="68" spans="1:20" ht="0.2" customHeight="1" x14ac:dyDescent="0.2">
      <c r="A68" s="448"/>
      <c r="B68" s="173" t="s">
        <v>391</v>
      </c>
      <c r="C68" s="255"/>
      <c r="D68" s="255"/>
      <c r="E68" s="255"/>
      <c r="F68" s="255"/>
      <c r="G68" s="255"/>
      <c r="H68" s="255"/>
      <c r="I68" s="255"/>
      <c r="J68" s="255"/>
      <c r="K68" s="1290"/>
      <c r="L68" s="1098">
        <f>SUM(C68:K68)</f>
        <v>0</v>
      </c>
      <c r="M68" s="4"/>
      <c r="N68" s="4"/>
      <c r="O68"/>
      <c r="P68"/>
      <c r="Q68"/>
      <c r="R68"/>
      <c r="S68"/>
      <c r="T68"/>
    </row>
    <row r="69" spans="1:20" ht="21.75" customHeight="1" x14ac:dyDescent="0.2">
      <c r="A69" s="654" t="s">
        <v>247</v>
      </c>
      <c r="B69" s="655" t="s">
        <v>492</v>
      </c>
      <c r="C69" s="255"/>
      <c r="D69" s="255"/>
      <c r="E69" s="255"/>
      <c r="F69" s="255"/>
      <c r="G69" s="255"/>
      <c r="H69" s="255"/>
      <c r="I69" s="255"/>
      <c r="J69" s="255"/>
      <c r="K69" s="1290"/>
      <c r="L69" s="1098"/>
      <c r="M69" s="4"/>
      <c r="N69" s="4"/>
      <c r="O69"/>
      <c r="P69"/>
      <c r="Q69"/>
      <c r="R69"/>
      <c r="S69"/>
      <c r="T69"/>
    </row>
    <row r="70" spans="1:20" ht="12.95" customHeight="1" thickBot="1" x14ac:dyDescent="0.25">
      <c r="A70" s="1659"/>
      <c r="B70" s="630" t="s">
        <v>392</v>
      </c>
      <c r="C70" s="631"/>
      <c r="D70" s="631"/>
      <c r="E70" s="631">
        <f>SUM('5.a.sz. melléklet'!E87)</f>
        <v>72608</v>
      </c>
      <c r="F70" s="631"/>
      <c r="G70" s="631"/>
      <c r="H70" s="631"/>
      <c r="I70" s="631"/>
      <c r="J70" s="631"/>
      <c r="K70" s="1291"/>
      <c r="L70" s="1775">
        <f>SUM(C70:K70)</f>
        <v>72608</v>
      </c>
      <c r="M70" s="4"/>
      <c r="N70" s="4"/>
      <c r="O70"/>
      <c r="P70"/>
      <c r="Q70"/>
      <c r="R70"/>
      <c r="S70"/>
      <c r="T70"/>
    </row>
    <row r="71" spans="1:20" ht="0.2" customHeight="1" x14ac:dyDescent="0.2">
      <c r="A71" s="1772"/>
      <c r="B71" s="1773" t="s">
        <v>393</v>
      </c>
      <c r="C71" s="1521"/>
      <c r="D71" s="1521"/>
      <c r="E71" s="1521"/>
      <c r="F71" s="1521"/>
      <c r="G71" s="1521"/>
      <c r="H71" s="1521"/>
      <c r="I71" s="1521"/>
      <c r="J71" s="1521"/>
      <c r="K71" s="1774"/>
      <c r="L71" s="1098">
        <f>SUM(C71:K71)</f>
        <v>0</v>
      </c>
      <c r="M71" s="4"/>
      <c r="N71" s="4"/>
      <c r="O71"/>
      <c r="P71"/>
      <c r="Q71"/>
      <c r="R71"/>
      <c r="S71"/>
      <c r="T71"/>
    </row>
    <row r="72" spans="1:20" ht="0.2" customHeight="1" x14ac:dyDescent="0.2">
      <c r="A72" s="448"/>
      <c r="B72" s="173" t="s">
        <v>391</v>
      </c>
      <c r="C72" s="255"/>
      <c r="D72" s="255"/>
      <c r="E72" s="255"/>
      <c r="F72" s="255"/>
      <c r="G72" s="255"/>
      <c r="H72" s="255"/>
      <c r="I72" s="255"/>
      <c r="J72" s="255"/>
      <c r="K72" s="1290"/>
      <c r="L72" s="1097">
        <f>SUM(C72:K72)</f>
        <v>0</v>
      </c>
      <c r="M72" s="4"/>
      <c r="N72" s="4"/>
      <c r="O72"/>
      <c r="P72"/>
      <c r="Q72"/>
      <c r="R72"/>
      <c r="S72"/>
      <c r="T72"/>
    </row>
    <row r="73" spans="1:20" ht="18.75" customHeight="1" x14ac:dyDescent="0.2">
      <c r="A73" s="654" t="s">
        <v>249</v>
      </c>
      <c r="B73" s="655" t="s">
        <v>493</v>
      </c>
      <c r="C73" s="255"/>
      <c r="D73" s="255"/>
      <c r="E73" s="255"/>
      <c r="F73" s="255"/>
      <c r="G73" s="255"/>
      <c r="H73" s="255"/>
      <c r="I73" s="255"/>
      <c r="J73" s="255"/>
      <c r="K73" s="1290"/>
      <c r="L73" s="1098"/>
      <c r="M73" s="4"/>
      <c r="N73" s="4"/>
      <c r="O73"/>
      <c r="P73"/>
      <c r="Q73"/>
      <c r="R73"/>
      <c r="S73"/>
      <c r="T73"/>
    </row>
    <row r="74" spans="1:20" ht="12.95" customHeight="1" thickBot="1" x14ac:dyDescent="0.25">
      <c r="A74" s="1659"/>
      <c r="B74" s="630" t="s">
        <v>392</v>
      </c>
      <c r="C74" s="631"/>
      <c r="D74" s="631"/>
      <c r="E74" s="631">
        <f>SUM('5.a.sz. melléklet'!E91)</f>
        <v>11546</v>
      </c>
      <c r="F74" s="631"/>
      <c r="G74" s="631"/>
      <c r="H74" s="631"/>
      <c r="I74" s="631"/>
      <c r="J74" s="631"/>
      <c r="K74" s="1291"/>
      <c r="L74" s="1775">
        <f>SUM(C74:K74)</f>
        <v>11546</v>
      </c>
      <c r="M74" s="4"/>
      <c r="N74" s="4"/>
      <c r="O74"/>
      <c r="P74"/>
      <c r="Q74"/>
      <c r="R74"/>
      <c r="S74"/>
      <c r="T74"/>
    </row>
    <row r="75" spans="1:20" ht="0.2" customHeight="1" x14ac:dyDescent="0.2">
      <c r="A75" s="1772"/>
      <c r="B75" s="1773" t="s">
        <v>393</v>
      </c>
      <c r="C75" s="1521"/>
      <c r="D75" s="1521"/>
      <c r="E75" s="1521"/>
      <c r="F75" s="1521"/>
      <c r="G75" s="1521"/>
      <c r="H75" s="1521"/>
      <c r="I75" s="1521"/>
      <c r="J75" s="1521"/>
      <c r="K75" s="1774"/>
      <c r="L75" s="1098">
        <f>SUM(E75:K75)</f>
        <v>0</v>
      </c>
      <c r="M75" s="4"/>
      <c r="N75" s="4"/>
      <c r="O75"/>
      <c r="P75"/>
      <c r="Q75"/>
      <c r="R75"/>
      <c r="S75"/>
      <c r="T75"/>
    </row>
    <row r="76" spans="1:20" ht="0.2" customHeight="1" x14ac:dyDescent="0.2">
      <c r="A76" s="448"/>
      <c r="B76" s="173" t="s">
        <v>391</v>
      </c>
      <c r="C76" s="255"/>
      <c r="D76" s="255"/>
      <c r="E76" s="255"/>
      <c r="F76" s="255"/>
      <c r="G76" s="255"/>
      <c r="H76" s="255"/>
      <c r="I76" s="255"/>
      <c r="J76" s="255"/>
      <c r="K76" s="1290"/>
      <c r="L76" s="1097">
        <f>SUM(E76:K76)</f>
        <v>0</v>
      </c>
      <c r="M76" s="4"/>
      <c r="N76" s="4"/>
      <c r="O76"/>
      <c r="P76"/>
      <c r="Q76"/>
      <c r="R76"/>
      <c r="S76"/>
      <c r="T76"/>
    </row>
    <row r="77" spans="1:20" ht="12.95" customHeight="1" x14ac:dyDescent="0.2">
      <c r="A77" s="654" t="s">
        <v>426</v>
      </c>
      <c r="B77" s="655" t="s">
        <v>460</v>
      </c>
      <c r="C77" s="255"/>
      <c r="D77" s="255"/>
      <c r="E77" s="255"/>
      <c r="F77" s="255"/>
      <c r="G77" s="255"/>
      <c r="H77" s="255"/>
      <c r="I77" s="255"/>
      <c r="J77" s="255"/>
      <c r="K77" s="1290"/>
      <c r="L77" s="1098"/>
      <c r="M77" s="4"/>
      <c r="N77" s="4"/>
      <c r="O77"/>
      <c r="P77"/>
      <c r="Q77"/>
      <c r="R77"/>
      <c r="S77"/>
      <c r="T77"/>
    </row>
    <row r="78" spans="1:20" ht="12.95" customHeight="1" x14ac:dyDescent="0.2">
      <c r="A78" s="448"/>
      <c r="B78" s="173" t="s">
        <v>392</v>
      </c>
      <c r="C78" s="255">
        <f>SUM('5.a.sz. melléklet'!C99)</f>
        <v>18409</v>
      </c>
      <c r="D78" s="255"/>
      <c r="E78" s="255">
        <f>SUM('5.a.sz. melléklet'!E99)</f>
        <v>22168</v>
      </c>
      <c r="F78" s="255"/>
      <c r="G78" s="255"/>
      <c r="H78" s="255"/>
      <c r="I78" s="255"/>
      <c r="J78" s="255"/>
      <c r="K78" s="1290"/>
      <c r="L78" s="1097">
        <f>SUM(C78:K78)</f>
        <v>40577</v>
      </c>
      <c r="M78" s="4"/>
      <c r="N78" s="4"/>
      <c r="O78"/>
      <c r="P78"/>
      <c r="Q78"/>
      <c r="R78"/>
      <c r="S78"/>
      <c r="T78"/>
    </row>
    <row r="79" spans="1:20" ht="0.2" customHeight="1" x14ac:dyDescent="0.2">
      <c r="A79" s="448"/>
      <c r="B79" s="173" t="s">
        <v>393</v>
      </c>
      <c r="C79" s="255"/>
      <c r="D79" s="255"/>
      <c r="E79" s="255"/>
      <c r="F79" s="255"/>
      <c r="G79" s="255"/>
      <c r="H79" s="255"/>
      <c r="I79" s="255"/>
      <c r="J79" s="255"/>
      <c r="K79" s="1290"/>
      <c r="L79" s="1098">
        <f>SUM(C79:K79)</f>
        <v>0</v>
      </c>
      <c r="M79" s="4"/>
      <c r="N79" s="4"/>
      <c r="O79"/>
      <c r="P79"/>
      <c r="Q79"/>
      <c r="R79"/>
      <c r="S79"/>
      <c r="T79"/>
    </row>
    <row r="80" spans="1:20" ht="0.75" customHeight="1" x14ac:dyDescent="0.2">
      <c r="A80" s="448"/>
      <c r="B80" s="173" t="s">
        <v>391</v>
      </c>
      <c r="C80" s="255"/>
      <c r="D80" s="255"/>
      <c r="E80" s="255"/>
      <c r="F80" s="255"/>
      <c r="G80" s="255"/>
      <c r="H80" s="255"/>
      <c r="I80" s="255"/>
      <c r="J80" s="255"/>
      <c r="K80" s="1290"/>
      <c r="L80" s="1098">
        <f>SUM(C80:K80)</f>
        <v>0</v>
      </c>
      <c r="M80" s="4"/>
      <c r="N80" s="4"/>
      <c r="O80"/>
      <c r="P80"/>
      <c r="Q80"/>
      <c r="R80"/>
      <c r="S80"/>
      <c r="T80"/>
    </row>
    <row r="81" spans="1:20" ht="23.25" customHeight="1" x14ac:dyDescent="0.2">
      <c r="A81" s="654" t="s">
        <v>593</v>
      </c>
      <c r="B81" s="655" t="s">
        <v>594</v>
      </c>
      <c r="C81" s="255"/>
      <c r="D81" s="255"/>
      <c r="E81" s="255"/>
      <c r="F81" s="255"/>
      <c r="G81" s="255"/>
      <c r="H81" s="255"/>
      <c r="I81" s="255"/>
      <c r="J81" s="255"/>
      <c r="K81" s="1290"/>
      <c r="L81" s="1098"/>
      <c r="M81" s="4"/>
      <c r="N81" s="4"/>
      <c r="O81"/>
      <c r="P81"/>
      <c r="Q81"/>
      <c r="R81"/>
      <c r="S81"/>
      <c r="T81"/>
    </row>
    <row r="82" spans="1:20" ht="15.75" customHeight="1" thickBot="1" x14ac:dyDescent="0.25">
      <c r="A82" s="1659"/>
      <c r="B82" s="630" t="s">
        <v>392</v>
      </c>
      <c r="C82" s="631"/>
      <c r="D82" s="631"/>
      <c r="E82" s="631">
        <f>SUM('5.a.sz. melléklet'!E103)</f>
        <v>225</v>
      </c>
      <c r="F82" s="631"/>
      <c r="G82" s="631"/>
      <c r="H82" s="631"/>
      <c r="I82" s="631"/>
      <c r="J82" s="631"/>
      <c r="K82" s="1291"/>
      <c r="L82" s="1775">
        <f>SUM(C82:K82)</f>
        <v>225</v>
      </c>
      <c r="M82" s="4"/>
      <c r="N82" s="4"/>
      <c r="O82"/>
      <c r="P82"/>
      <c r="Q82"/>
      <c r="R82"/>
      <c r="S82"/>
      <c r="T82"/>
    </row>
    <row r="83" spans="1:20" ht="12.95" customHeight="1" x14ac:dyDescent="0.2">
      <c r="A83" s="654" t="s">
        <v>284</v>
      </c>
      <c r="B83" s="655" t="s">
        <v>117</v>
      </c>
      <c r="C83" s="1521"/>
      <c r="D83" s="1521"/>
      <c r="E83" s="1521"/>
      <c r="F83" s="1521"/>
      <c r="G83" s="1521"/>
      <c r="H83" s="1521"/>
      <c r="I83" s="1521"/>
      <c r="J83" s="1521"/>
      <c r="K83" s="1774"/>
      <c r="L83" s="1098"/>
      <c r="M83" s="4"/>
      <c r="N83" s="4"/>
      <c r="O83"/>
      <c r="P83"/>
      <c r="Q83"/>
      <c r="R83"/>
      <c r="S83"/>
      <c r="T83"/>
    </row>
    <row r="84" spans="1:20" ht="12.95" customHeight="1" thickBot="1" x14ac:dyDescent="0.25">
      <c r="A84" s="1659"/>
      <c r="B84" s="630" t="s">
        <v>392</v>
      </c>
      <c r="C84" s="631"/>
      <c r="D84" s="631"/>
      <c r="E84" s="631"/>
      <c r="F84" s="631"/>
      <c r="G84" s="631"/>
      <c r="H84" s="631"/>
      <c r="I84" s="631"/>
      <c r="J84" s="631"/>
      <c r="K84" s="1291"/>
      <c r="L84" s="1775">
        <f>SUM(C84:K84)</f>
        <v>0</v>
      </c>
      <c r="M84" s="4"/>
      <c r="N84" s="4"/>
      <c r="O84"/>
      <c r="P84"/>
      <c r="Q84"/>
      <c r="R84"/>
      <c r="S84"/>
      <c r="T84"/>
    </row>
    <row r="85" spans="1:20" ht="0.2" customHeight="1" x14ac:dyDescent="0.2">
      <c r="A85" s="1772"/>
      <c r="B85" s="1773" t="s">
        <v>393</v>
      </c>
      <c r="C85" s="1521"/>
      <c r="D85" s="1521"/>
      <c r="E85" s="1521"/>
      <c r="F85" s="1521"/>
      <c r="G85" s="1521"/>
      <c r="H85" s="1521"/>
      <c r="I85" s="1521"/>
      <c r="J85" s="1521"/>
      <c r="K85" s="1774"/>
      <c r="L85" s="1098">
        <f>SUM(C85:K85)</f>
        <v>0</v>
      </c>
      <c r="M85" s="4"/>
      <c r="N85" s="4"/>
      <c r="O85"/>
      <c r="P85"/>
      <c r="Q85"/>
      <c r="R85"/>
      <c r="S85"/>
      <c r="T85"/>
    </row>
    <row r="86" spans="1:20" ht="0.2" customHeight="1" x14ac:dyDescent="0.2">
      <c r="A86" s="427"/>
      <c r="B86" s="173" t="s">
        <v>391</v>
      </c>
      <c r="C86" s="255"/>
      <c r="D86" s="255"/>
      <c r="E86" s="255"/>
      <c r="F86" s="255"/>
      <c r="G86" s="255"/>
      <c r="H86" s="255"/>
      <c r="I86" s="255"/>
      <c r="J86" s="255"/>
      <c r="K86" s="1290"/>
      <c r="L86" s="1097">
        <f>SUM(C86:K86)</f>
        <v>0</v>
      </c>
      <c r="M86" s="4"/>
      <c r="N86" s="4"/>
      <c r="O86"/>
      <c r="P86"/>
      <c r="Q86"/>
      <c r="R86"/>
      <c r="S86"/>
      <c r="T86"/>
    </row>
    <row r="87" spans="1:20" ht="24" customHeight="1" x14ac:dyDescent="0.2">
      <c r="A87" s="734" t="s">
        <v>285</v>
      </c>
      <c r="B87" s="655" t="s">
        <v>490</v>
      </c>
      <c r="C87" s="255"/>
      <c r="D87" s="255"/>
      <c r="E87" s="255"/>
      <c r="F87" s="255"/>
      <c r="G87" s="255"/>
      <c r="H87" s="255"/>
      <c r="I87" s="255"/>
      <c r="J87" s="255"/>
      <c r="K87" s="1290"/>
      <c r="L87" s="1098"/>
      <c r="M87" s="4"/>
      <c r="N87" s="4"/>
      <c r="O87"/>
      <c r="P87"/>
      <c r="Q87"/>
      <c r="R87"/>
      <c r="S87"/>
      <c r="T87"/>
    </row>
    <row r="88" spans="1:20" ht="15" customHeight="1" thickBot="1" x14ac:dyDescent="0.25">
      <c r="A88" s="449"/>
      <c r="B88" s="630" t="s">
        <v>392</v>
      </c>
      <c r="C88" s="631"/>
      <c r="D88" s="631"/>
      <c r="E88" s="631"/>
      <c r="F88" s="631"/>
      <c r="G88" s="631"/>
      <c r="H88" s="631"/>
      <c r="I88" s="631"/>
      <c r="J88" s="631"/>
      <c r="K88" s="1291"/>
      <c r="L88" s="1775"/>
      <c r="M88" s="4"/>
      <c r="N88" s="4"/>
      <c r="O88"/>
      <c r="P88"/>
      <c r="Q88"/>
      <c r="R88"/>
      <c r="S88"/>
      <c r="T88"/>
    </row>
    <row r="89" spans="1:20" ht="0.2" customHeight="1" x14ac:dyDescent="0.2">
      <c r="A89" s="432"/>
      <c r="B89" s="1773" t="s">
        <v>393</v>
      </c>
      <c r="C89" s="1521"/>
      <c r="D89" s="1521"/>
      <c r="E89" s="1521"/>
      <c r="F89" s="1521"/>
      <c r="G89" s="1521"/>
      <c r="H89" s="1521"/>
      <c r="I89" s="1521"/>
      <c r="J89" s="1521"/>
      <c r="K89" s="1774"/>
      <c r="L89" s="1098">
        <f>SUM(C89:K89)</f>
        <v>0</v>
      </c>
      <c r="M89" s="4"/>
      <c r="N89" s="4"/>
      <c r="O89"/>
      <c r="P89"/>
      <c r="Q89"/>
      <c r="R89"/>
      <c r="S89"/>
      <c r="T89"/>
    </row>
    <row r="90" spans="1:20" ht="0.2" customHeight="1" x14ac:dyDescent="0.2">
      <c r="A90" s="427"/>
      <c r="B90" s="173" t="s">
        <v>391</v>
      </c>
      <c r="C90" s="255"/>
      <c r="D90" s="255"/>
      <c r="E90" s="255"/>
      <c r="F90" s="255"/>
      <c r="G90" s="255"/>
      <c r="H90" s="255"/>
      <c r="I90" s="255"/>
      <c r="J90" s="255"/>
      <c r="K90" s="1290"/>
      <c r="L90" s="1097">
        <f>SUM(C90:K90)</f>
        <v>0</v>
      </c>
      <c r="M90" s="4"/>
      <c r="N90" s="4"/>
      <c r="O90"/>
      <c r="P90"/>
      <c r="Q90"/>
      <c r="R90"/>
      <c r="S90"/>
      <c r="T90"/>
    </row>
    <row r="91" spans="1:20" ht="25.5" customHeight="1" x14ac:dyDescent="0.2">
      <c r="A91" s="734" t="s">
        <v>287</v>
      </c>
      <c r="B91" s="655" t="s">
        <v>494</v>
      </c>
      <c r="C91" s="255"/>
      <c r="D91" s="255"/>
      <c r="E91" s="255"/>
      <c r="F91" s="255"/>
      <c r="G91" s="255"/>
      <c r="H91" s="255"/>
      <c r="I91" s="255"/>
      <c r="J91" s="255"/>
      <c r="K91" s="1290"/>
      <c r="L91" s="1097"/>
      <c r="M91" s="4"/>
      <c r="N91" s="4"/>
      <c r="O91"/>
      <c r="P91"/>
      <c r="Q91"/>
      <c r="R91"/>
      <c r="S91"/>
      <c r="T91"/>
    </row>
    <row r="92" spans="1:20" ht="15" customHeight="1" thickBot="1" x14ac:dyDescent="0.25">
      <c r="A92" s="449"/>
      <c r="B92" s="630" t="s">
        <v>392</v>
      </c>
      <c r="C92" s="631"/>
      <c r="D92" s="631"/>
      <c r="E92" s="631"/>
      <c r="F92" s="631"/>
      <c r="G92" s="631"/>
      <c r="H92" s="631"/>
      <c r="I92" s="631"/>
      <c r="J92" s="631"/>
      <c r="K92" s="1291"/>
      <c r="L92" s="1775"/>
      <c r="M92" s="4"/>
      <c r="N92" s="4"/>
      <c r="O92"/>
      <c r="P92"/>
      <c r="Q92"/>
      <c r="R92"/>
      <c r="S92"/>
      <c r="T92"/>
    </row>
    <row r="93" spans="1:20" ht="0.2" customHeight="1" x14ac:dyDescent="0.2">
      <c r="A93" s="432"/>
      <c r="B93" s="1773" t="s">
        <v>393</v>
      </c>
      <c r="C93" s="1521"/>
      <c r="D93" s="1521"/>
      <c r="E93" s="1521"/>
      <c r="F93" s="1521"/>
      <c r="G93" s="1521"/>
      <c r="H93" s="1521"/>
      <c r="I93" s="1521"/>
      <c r="J93" s="1521"/>
      <c r="K93" s="1774"/>
      <c r="L93" s="1098">
        <f>SUM(E93:K93)</f>
        <v>0</v>
      </c>
      <c r="M93" s="4"/>
      <c r="N93" s="4"/>
      <c r="O93"/>
      <c r="P93"/>
      <c r="Q93"/>
      <c r="R93"/>
      <c r="S93"/>
      <c r="T93"/>
    </row>
    <row r="94" spans="1:20" ht="0.2" customHeight="1" x14ac:dyDescent="0.2">
      <c r="A94" s="427"/>
      <c r="B94" s="173" t="s">
        <v>391</v>
      </c>
      <c r="C94" s="255"/>
      <c r="D94" s="255"/>
      <c r="E94" s="255"/>
      <c r="F94" s="255"/>
      <c r="G94" s="255"/>
      <c r="H94" s="255"/>
      <c r="I94" s="255"/>
      <c r="J94" s="255"/>
      <c r="K94" s="1290"/>
      <c r="L94" s="1097">
        <f>SUM(E94:K94)</f>
        <v>0</v>
      </c>
      <c r="M94" s="4"/>
      <c r="N94" s="4"/>
      <c r="O94"/>
      <c r="P94"/>
      <c r="Q94"/>
      <c r="R94"/>
      <c r="S94"/>
      <c r="T94"/>
    </row>
    <row r="95" spans="1:20" ht="23.25" customHeight="1" x14ac:dyDescent="0.2">
      <c r="A95" s="734" t="s">
        <v>289</v>
      </c>
      <c r="B95" s="655" t="s">
        <v>489</v>
      </c>
      <c r="C95" s="255"/>
      <c r="D95" s="255"/>
      <c r="E95" s="255"/>
      <c r="F95" s="255"/>
      <c r="G95" s="255"/>
      <c r="H95" s="255"/>
      <c r="I95" s="255"/>
      <c r="J95" s="255"/>
      <c r="K95" s="1290"/>
      <c r="L95" s="1098"/>
      <c r="M95" s="4"/>
      <c r="N95" s="4"/>
      <c r="O95"/>
      <c r="P95"/>
      <c r="Q95"/>
      <c r="R95"/>
      <c r="S95"/>
      <c r="T95"/>
    </row>
    <row r="96" spans="1:20" ht="15" customHeight="1" thickBot="1" x14ac:dyDescent="0.25">
      <c r="A96" s="449"/>
      <c r="B96" s="630" t="s">
        <v>392</v>
      </c>
      <c r="C96" s="631"/>
      <c r="D96" s="631"/>
      <c r="E96" s="631"/>
      <c r="F96" s="631"/>
      <c r="G96" s="631"/>
      <c r="H96" s="631"/>
      <c r="I96" s="631"/>
      <c r="J96" s="631"/>
      <c r="K96" s="1291"/>
      <c r="L96" s="1775"/>
      <c r="M96" s="4"/>
      <c r="N96" s="4"/>
      <c r="O96"/>
      <c r="P96"/>
      <c r="Q96"/>
      <c r="R96"/>
      <c r="S96"/>
      <c r="T96"/>
    </row>
    <row r="97" spans="1:20" ht="0.2" customHeight="1" x14ac:dyDescent="0.2">
      <c r="A97" s="432"/>
      <c r="B97" s="1773" t="s">
        <v>393</v>
      </c>
      <c r="C97" s="1521"/>
      <c r="D97" s="1521"/>
      <c r="E97" s="1521"/>
      <c r="F97" s="1521"/>
      <c r="G97" s="1521"/>
      <c r="H97" s="1521"/>
      <c r="I97" s="1521"/>
      <c r="J97" s="1521"/>
      <c r="K97" s="1774"/>
      <c r="L97" s="1098">
        <f>SUM(E97:K97)</f>
        <v>0</v>
      </c>
      <c r="M97" s="4"/>
      <c r="N97" s="4"/>
      <c r="O97"/>
      <c r="P97"/>
      <c r="Q97"/>
      <c r="R97"/>
      <c r="S97"/>
      <c r="T97"/>
    </row>
    <row r="98" spans="1:20" ht="1.5" customHeight="1" x14ac:dyDescent="0.2">
      <c r="A98" s="427"/>
      <c r="B98" s="173" t="s">
        <v>391</v>
      </c>
      <c r="C98" s="255"/>
      <c r="D98" s="255"/>
      <c r="E98" s="255"/>
      <c r="F98" s="255"/>
      <c r="G98" s="255"/>
      <c r="H98" s="255"/>
      <c r="I98" s="255"/>
      <c r="J98" s="255"/>
      <c r="K98" s="1290"/>
      <c r="L98" s="1097">
        <f>SUM(E98:K98)</f>
        <v>0</v>
      </c>
      <c r="M98" s="4"/>
      <c r="N98" s="4"/>
      <c r="O98"/>
      <c r="P98"/>
      <c r="Q98"/>
      <c r="R98"/>
      <c r="S98"/>
      <c r="T98"/>
    </row>
    <row r="99" spans="1:20" ht="15" customHeight="1" thickBot="1" x14ac:dyDescent="0.25">
      <c r="A99" s="734" t="s">
        <v>299</v>
      </c>
      <c r="B99" s="655" t="s">
        <v>86</v>
      </c>
      <c r="C99" s="255"/>
      <c r="D99" s="255"/>
      <c r="E99" s="255"/>
      <c r="F99" s="631"/>
      <c r="G99" s="255"/>
      <c r="H99" s="255"/>
      <c r="I99" s="255"/>
      <c r="J99" s="255"/>
      <c r="K99" s="1290"/>
      <c r="L99" s="1098"/>
      <c r="M99" s="4"/>
      <c r="N99" s="4"/>
      <c r="O99"/>
      <c r="P99"/>
      <c r="Q99"/>
      <c r="R99"/>
      <c r="S99"/>
      <c r="T99"/>
    </row>
    <row r="100" spans="1:20" ht="15" customHeight="1" thickBot="1" x14ac:dyDescent="0.25">
      <c r="A100" s="674"/>
      <c r="B100" s="457" t="s">
        <v>392</v>
      </c>
      <c r="C100" s="255"/>
      <c r="D100" s="255"/>
      <c r="E100" s="255"/>
      <c r="F100" s="1521"/>
      <c r="G100" s="255"/>
      <c r="H100" s="255"/>
      <c r="I100" s="255"/>
      <c r="J100" s="255"/>
      <c r="K100" s="1290"/>
      <c r="L100" s="1097"/>
      <c r="M100" s="4"/>
      <c r="N100" s="4"/>
      <c r="O100"/>
      <c r="P100"/>
      <c r="Q100"/>
      <c r="R100"/>
      <c r="S100"/>
      <c r="T100"/>
    </row>
    <row r="101" spans="1:20" ht="0.2" customHeight="1" x14ac:dyDescent="0.2">
      <c r="A101" s="674"/>
      <c r="B101" s="457" t="s">
        <v>393</v>
      </c>
      <c r="C101" s="255"/>
      <c r="D101" s="255"/>
      <c r="E101" s="255">
        <v>165</v>
      </c>
      <c r="F101" s="255"/>
      <c r="G101" s="255"/>
      <c r="H101" s="255"/>
      <c r="I101" s="255"/>
      <c r="J101" s="255"/>
      <c r="K101" s="1290"/>
      <c r="L101" s="1097">
        <f>SUM(E101:K101)</f>
        <v>165</v>
      </c>
      <c r="M101" s="4"/>
      <c r="N101" s="4"/>
      <c r="O101"/>
      <c r="P101"/>
      <c r="Q101"/>
      <c r="R101"/>
      <c r="S101"/>
      <c r="T101"/>
    </row>
    <row r="102" spans="1:20" ht="0.2" customHeight="1" thickBot="1" x14ac:dyDescent="0.25">
      <c r="A102" s="449"/>
      <c r="B102" s="630" t="s">
        <v>391</v>
      </c>
      <c r="C102" s="631"/>
      <c r="D102" s="631"/>
      <c r="E102" s="631"/>
      <c r="F102" s="631"/>
      <c r="G102" s="631"/>
      <c r="H102" s="631"/>
      <c r="I102" s="631"/>
      <c r="J102" s="631"/>
      <c r="K102" s="1291"/>
      <c r="L102" s="1116">
        <f>SUM(E102:K102)</f>
        <v>0</v>
      </c>
      <c r="M102" s="4"/>
      <c r="N102" s="4"/>
      <c r="O102"/>
      <c r="P102"/>
      <c r="Q102"/>
      <c r="R102"/>
      <c r="S102"/>
      <c r="T102"/>
    </row>
    <row r="103" spans="1:20" s="162" customFormat="1" ht="23.25" customHeight="1" x14ac:dyDescent="0.2">
      <c r="A103" s="1967" t="s">
        <v>406</v>
      </c>
      <c r="B103" s="1968"/>
      <c r="C103" s="664"/>
      <c r="D103" s="664"/>
      <c r="E103" s="664"/>
      <c r="F103" s="664"/>
      <c r="G103" s="664"/>
      <c r="H103" s="664"/>
      <c r="I103" s="664"/>
      <c r="J103" s="664"/>
      <c r="K103" s="1110"/>
      <c r="L103" s="1115"/>
      <c r="M103" s="161"/>
      <c r="N103" s="163"/>
      <c r="O103" s="161"/>
    </row>
    <row r="104" spans="1:20" s="162" customFormat="1" ht="12.95" customHeight="1" x14ac:dyDescent="0.15">
      <c r="A104" s="658"/>
      <c r="B104" s="659" t="s">
        <v>392</v>
      </c>
      <c r="C104" s="660">
        <f>C6+C14+C18+C22+C26+C30+C34+C38+C42+C46+C50+C66+C78+C84+C62+C10</f>
        <v>59463</v>
      </c>
      <c r="D104" s="660">
        <f>D6+D14+D18+D22+D26+D30+D34+D38+D42+D46+D50+D66+D78+D84</f>
        <v>543532</v>
      </c>
      <c r="E104" s="660">
        <f>E6+E14+E18+E22+E26+E30+E34+E38+E42+E46+E50+E66+E78+E84+E82+E88+E96+E74+E70+E62+E58+E54+E10</f>
        <v>113279</v>
      </c>
      <c r="F104" s="660">
        <f t="shared" ref="F104:K104" si="0">F6+F14+F18+F22+F26+F30+F34+F38+F42+F46+F50+F66+F78+F84</f>
        <v>9980</v>
      </c>
      <c r="G104" s="660">
        <f t="shared" si="0"/>
        <v>240017</v>
      </c>
      <c r="H104" s="660">
        <f t="shared" si="0"/>
        <v>0</v>
      </c>
      <c r="I104" s="660">
        <f t="shared" si="0"/>
        <v>30430</v>
      </c>
      <c r="J104" s="660">
        <f t="shared" si="0"/>
        <v>350000</v>
      </c>
      <c r="K104" s="1111">
        <f t="shared" si="0"/>
        <v>100000</v>
      </c>
      <c r="L104" s="1117">
        <f>L6+L14+L18+L22+L26+L30+L34+L38+L42+L46+L50+L66+L78+L84+L62+L10+L100+L96+L92+L88+L74+L70+L58+L54+L82</f>
        <v>1446701</v>
      </c>
      <c r="M104" s="679">
        <f>SUM(C104:K104)</f>
        <v>1446701</v>
      </c>
      <c r="N104" s="163"/>
      <c r="O104" s="161"/>
    </row>
    <row r="105" spans="1:20" s="162" customFormat="1" ht="0.2" customHeight="1" x14ac:dyDescent="0.15">
      <c r="A105" s="658"/>
      <c r="B105" s="659" t="s">
        <v>393</v>
      </c>
      <c r="C105" s="660">
        <f>C7+C15+C19+C23+C27+C31+C35+C39+C43+C47+C51+C67+C79+C85+C63+C11</f>
        <v>0</v>
      </c>
      <c r="D105" s="660">
        <f>D7+D15+D19+D23+D27+D31+D35+D39+D43+D47+D51+D67+D79+D85</f>
        <v>0</v>
      </c>
      <c r="E105" s="660">
        <f>E7+E15+E19+E23+E27+E31+E35+E39+E43+E47+E51+E67+E79+E85+E101+E97+E93+E89+E75+E71+E59+E11+E55</f>
        <v>165</v>
      </c>
      <c r="F105" s="660">
        <f>F7+F15+F19+F23+F27+F31+F35+F39+F43+F47+F51+F67+F79+F85+F89</f>
        <v>0</v>
      </c>
      <c r="G105" s="660">
        <f>G7+G15+G19+G23+G27+G31+G35+G39+G43+G47+G51+G67+G79+G85</f>
        <v>0</v>
      </c>
      <c r="H105" s="660">
        <f>H7+H15+H19+H23+H27+H31+H35+H39+H43+H47+H51+H67+H79+H85+H11</f>
        <v>0</v>
      </c>
      <c r="I105" s="660">
        <f>I7+I15+I19+I23+I27+I31+I35+I39+I43+I47+I51+I67+I79+I85</f>
        <v>0</v>
      </c>
      <c r="J105" s="660">
        <f>J7+J15+J19+J23+J27+J31+J35+J39+J43+J47+J51+J67+J79+J85</f>
        <v>0</v>
      </c>
      <c r="K105" s="1111">
        <f>K7+K15+K19+K23+K27+K31+K35+K39+K43+K47+K51+K67+K79+K85+K11</f>
        <v>0</v>
      </c>
      <c r="L105" s="1117">
        <f>L7+L15+L19+L23+L27+L31+L35+L39+L43+L47+L51+L67+L79+L85+L11+L63+L101+L97+L93+L89+L75+L71+L59+L55</f>
        <v>165</v>
      </c>
      <c r="M105" s="679">
        <f>SUM(C105:K105)</f>
        <v>165</v>
      </c>
      <c r="N105" s="163"/>
      <c r="O105" s="161"/>
    </row>
    <row r="106" spans="1:20" s="162" customFormat="1" ht="0.2" customHeight="1" x14ac:dyDescent="0.15">
      <c r="A106" s="1271"/>
      <c r="B106" s="1272" t="s">
        <v>391</v>
      </c>
      <c r="C106" s="660">
        <f>C8+C16+C20+C24+C28+C32+C36+C40+C44+C48+C52+C68+C80+C86+C64+C12</f>
        <v>0</v>
      </c>
      <c r="D106" s="660">
        <f>D8+D16+D20+D24+D28+D32+D36+D40+D44+D48+D52+D68+D80+D86</f>
        <v>0</v>
      </c>
      <c r="E106" s="660">
        <f>E8+E16+E20+E24+E28+E32+E36+E40+E44+E48+E52+E68+E80+E86+E102+E98+E94+E90+E76+E72+E60+E12+E56</f>
        <v>0</v>
      </c>
      <c r="F106" s="660">
        <f>F8+F16+F20+F24+F28+F32+F36+F40+F44+F48+F52+F68+F80+F86+F90</f>
        <v>0</v>
      </c>
      <c r="G106" s="660">
        <f>G8+G16+G20+G24+G28+G32+G36+G40+G44+G48+G52+G68+G80+G86</f>
        <v>0</v>
      </c>
      <c r="H106" s="660">
        <f>H8+H16+H20+H24+H28+H32+H36+H40+H44+H48+H52+H68+H80+H86+H12</f>
        <v>0</v>
      </c>
      <c r="I106" s="660">
        <f>I8+I16+I20+I24+I28+I32+I36+I40+I44+I48+I52+I68+I80+I86</f>
        <v>0</v>
      </c>
      <c r="J106" s="660">
        <f>J8+J16+J20+J24+J28+J32+J36+J40+J44+J48+J52+J68+J80+J86</f>
        <v>0</v>
      </c>
      <c r="K106" s="1111">
        <f>K8+K16+K20+K24+K28+K32+K36+K40+K44+K48+K52+K68+K80+K86+K12</f>
        <v>0</v>
      </c>
      <c r="L106" s="1117">
        <f>L8+L16+L20+L24+L28+L32+L36+L40+L44+L48+L52+L68+L80+L86+L12+L64+L102+L98+L94+L90+L76+L72+L60+L56</f>
        <v>0</v>
      </c>
      <c r="M106" s="679"/>
      <c r="N106" s="163"/>
      <c r="O106" s="161"/>
    </row>
    <row r="107" spans="1:20" ht="12.95" customHeight="1" thickBot="1" x14ac:dyDescent="0.3">
      <c r="A107" s="661"/>
      <c r="B107" s="662"/>
      <c r="C107" s="1119"/>
      <c r="D107" s="1119"/>
      <c r="E107" s="1119"/>
      <c r="F107" s="1119"/>
      <c r="G107" s="1119"/>
      <c r="H107" s="1119"/>
      <c r="I107" s="1119"/>
      <c r="J107" s="1119"/>
      <c r="K107" s="1120"/>
      <c r="L107" s="1118"/>
      <c r="M107" s="466"/>
      <c r="N107" s="464"/>
      <c r="O107" s="367"/>
      <c r="P107" s="367"/>
    </row>
    <row r="108" spans="1:20" ht="12.95" customHeight="1" x14ac:dyDescent="0.25">
      <c r="A108" s="905"/>
      <c r="B108" s="906"/>
      <c r="C108" s="685"/>
      <c r="D108" s="685"/>
      <c r="E108" s="685"/>
      <c r="F108" s="685"/>
      <c r="G108" s="685"/>
      <c r="H108" s="685"/>
      <c r="I108" s="685"/>
      <c r="J108" s="685"/>
      <c r="K108" s="1121"/>
      <c r="L108" s="1122"/>
      <c r="M108" s="466"/>
      <c r="N108" s="464"/>
      <c r="O108" s="367"/>
      <c r="P108" s="367"/>
    </row>
    <row r="109" spans="1:20" ht="12.95" customHeight="1" thickBot="1" x14ac:dyDescent="0.3">
      <c r="A109" s="1123"/>
      <c r="B109" s="1124"/>
      <c r="C109" s="1125"/>
      <c r="D109" s="466"/>
      <c r="E109" s="466"/>
      <c r="F109" s="466"/>
      <c r="G109" s="466"/>
      <c r="H109" s="466"/>
      <c r="I109" s="466"/>
      <c r="J109" s="466"/>
      <c r="K109" s="466"/>
      <c r="L109" s="464"/>
      <c r="M109" s="466"/>
      <c r="N109" s="464"/>
      <c r="O109" s="367"/>
      <c r="P109" s="367"/>
    </row>
    <row r="110" spans="1:20" ht="12" customHeight="1" thickBot="1" x14ac:dyDescent="0.3">
      <c r="A110" s="1961" t="s">
        <v>187</v>
      </c>
      <c r="B110" s="1962"/>
      <c r="C110" s="1126"/>
      <c r="D110" s="1127"/>
      <c r="E110" s="1127"/>
      <c r="F110" s="1127"/>
      <c r="G110" s="1127"/>
      <c r="H110" s="1127"/>
      <c r="I110" s="1127"/>
      <c r="J110" s="1127"/>
      <c r="K110" s="1129"/>
      <c r="L110" s="1130"/>
      <c r="M110" s="466"/>
      <c r="N110" s="464"/>
      <c r="O110" s="367"/>
      <c r="P110" s="367"/>
    </row>
    <row r="111" spans="1:20" ht="22.5" customHeight="1" x14ac:dyDescent="0.2">
      <c r="A111" s="1392" t="s">
        <v>246</v>
      </c>
      <c r="B111" s="967" t="s">
        <v>134</v>
      </c>
      <c r="C111" s="879"/>
      <c r="D111" s="879"/>
      <c r="E111" s="879"/>
      <c r="F111" s="879"/>
      <c r="G111" s="879"/>
      <c r="H111" s="879"/>
      <c r="I111" s="879"/>
      <c r="J111" s="879"/>
      <c r="K111" s="1289"/>
      <c r="L111" s="1098"/>
      <c r="M111" s="4"/>
      <c r="N111" s="4"/>
      <c r="O111"/>
      <c r="P111"/>
      <c r="Q111"/>
      <c r="R111"/>
      <c r="S111"/>
      <c r="T111"/>
    </row>
    <row r="112" spans="1:20" ht="13.5" customHeight="1" thickBot="1" x14ac:dyDescent="0.25">
      <c r="A112" s="1661"/>
      <c r="B112" s="630" t="s">
        <v>392</v>
      </c>
      <c r="C112" s="631"/>
      <c r="D112" s="631"/>
      <c r="E112" s="631"/>
      <c r="F112" s="631"/>
      <c r="G112" s="631"/>
      <c r="H112" s="631"/>
      <c r="I112" s="631"/>
      <c r="J112" s="631"/>
      <c r="K112" s="1291"/>
      <c r="L112" s="1775"/>
      <c r="M112" s="4"/>
      <c r="N112" s="4"/>
      <c r="O112"/>
      <c r="P112"/>
      <c r="Q112"/>
      <c r="R112"/>
      <c r="S112"/>
      <c r="T112"/>
    </row>
    <row r="113" spans="1:20" ht="0.2" customHeight="1" x14ac:dyDescent="0.2">
      <c r="A113" s="1817"/>
      <c r="B113" s="1773" t="s">
        <v>393</v>
      </c>
      <c r="C113" s="1521"/>
      <c r="D113" s="1521"/>
      <c r="E113" s="1521"/>
      <c r="F113" s="1521"/>
      <c r="G113" s="1521"/>
      <c r="H113" s="1521"/>
      <c r="I113" s="1521"/>
      <c r="J113" s="1521"/>
      <c r="K113" s="1774"/>
      <c r="L113" s="1098">
        <f>SUM(C113:K113)</f>
        <v>0</v>
      </c>
      <c r="M113" s="4"/>
      <c r="N113" s="4"/>
      <c r="O113"/>
      <c r="P113"/>
      <c r="Q113"/>
      <c r="R113"/>
      <c r="S113"/>
      <c r="T113"/>
    </row>
    <row r="114" spans="1:20" ht="0.2" customHeight="1" x14ac:dyDescent="0.2">
      <c r="A114" s="458"/>
      <c r="B114" s="173" t="s">
        <v>391</v>
      </c>
      <c r="C114" s="255"/>
      <c r="D114" s="255"/>
      <c r="E114" s="255"/>
      <c r="F114" s="255"/>
      <c r="G114" s="255"/>
      <c r="H114" s="255"/>
      <c r="I114" s="255"/>
      <c r="J114" s="255"/>
      <c r="K114" s="1290"/>
      <c r="L114" s="1097">
        <f>SUM(C114:K114)</f>
        <v>0</v>
      </c>
      <c r="M114" s="4"/>
      <c r="N114" s="4"/>
      <c r="O114"/>
      <c r="P114"/>
      <c r="Q114"/>
      <c r="R114"/>
      <c r="S114"/>
      <c r="T114"/>
    </row>
    <row r="115" spans="1:20" ht="20.25" customHeight="1" x14ac:dyDescent="0.2">
      <c r="A115" s="1389" t="s">
        <v>258</v>
      </c>
      <c r="B115" s="655" t="s">
        <v>491</v>
      </c>
      <c r="C115" s="255"/>
      <c r="D115" s="255"/>
      <c r="E115" s="255"/>
      <c r="F115" s="255"/>
      <c r="G115" s="255"/>
      <c r="H115" s="255"/>
      <c r="I115" s="255"/>
      <c r="J115" s="255"/>
      <c r="K115" s="1290"/>
      <c r="L115" s="1098"/>
      <c r="M115" s="4"/>
      <c r="N115" s="4"/>
      <c r="O115"/>
      <c r="P115"/>
      <c r="Q115"/>
      <c r="R115"/>
      <c r="S115"/>
      <c r="T115"/>
    </row>
    <row r="116" spans="1:20" ht="13.5" customHeight="1" thickBot="1" x14ac:dyDescent="0.25">
      <c r="A116" s="1661"/>
      <c r="B116" s="630" t="s">
        <v>392</v>
      </c>
      <c r="C116" s="631"/>
      <c r="D116" s="631"/>
      <c r="E116" s="631"/>
      <c r="F116" s="631">
        <f>SUM('5.a.sz. melléklet'!F31)</f>
        <v>1905</v>
      </c>
      <c r="G116" s="631"/>
      <c r="H116" s="631"/>
      <c r="I116" s="631"/>
      <c r="J116" s="631"/>
      <c r="K116" s="1291"/>
      <c r="L116" s="1775">
        <f>SUM(C116:K116)</f>
        <v>1905</v>
      </c>
      <c r="M116" s="4"/>
      <c r="N116" s="4"/>
      <c r="O116"/>
      <c r="P116"/>
      <c r="Q116"/>
      <c r="R116"/>
      <c r="S116"/>
      <c r="T116"/>
    </row>
    <row r="117" spans="1:20" ht="0.2" customHeight="1" x14ac:dyDescent="0.2">
      <c r="A117" s="1817"/>
      <c r="B117" s="1773" t="s">
        <v>393</v>
      </c>
      <c r="C117" s="1521"/>
      <c r="D117" s="1521"/>
      <c r="E117" s="1521"/>
      <c r="F117" s="1521"/>
      <c r="G117" s="1521"/>
      <c r="H117" s="1521"/>
      <c r="I117" s="1521"/>
      <c r="J117" s="1521"/>
      <c r="K117" s="1774"/>
      <c r="L117" s="1098">
        <f>SUM(F117:K117)</f>
        <v>0</v>
      </c>
      <c r="M117" s="4"/>
      <c r="N117" s="4"/>
      <c r="O117"/>
      <c r="P117"/>
      <c r="Q117"/>
      <c r="R117"/>
      <c r="S117"/>
      <c r="T117"/>
    </row>
    <row r="118" spans="1:20" ht="0.2" customHeight="1" x14ac:dyDescent="0.2">
      <c r="A118" s="458"/>
      <c r="B118" s="173" t="s">
        <v>391</v>
      </c>
      <c r="C118" s="255"/>
      <c r="D118" s="255"/>
      <c r="E118" s="255"/>
      <c r="F118" s="255"/>
      <c r="G118" s="255"/>
      <c r="H118" s="255"/>
      <c r="I118" s="255"/>
      <c r="J118" s="255"/>
      <c r="K118" s="1290"/>
      <c r="L118" s="1097">
        <f>SUM(F118:K118)</f>
        <v>0</v>
      </c>
      <c r="M118" s="4"/>
      <c r="N118" s="4"/>
      <c r="O118"/>
      <c r="P118"/>
      <c r="Q118"/>
      <c r="R118"/>
      <c r="S118"/>
      <c r="T118"/>
    </row>
    <row r="119" spans="1:20" ht="22.5" customHeight="1" x14ac:dyDescent="0.2">
      <c r="A119" s="654" t="s">
        <v>266</v>
      </c>
      <c r="B119" s="655" t="s">
        <v>267</v>
      </c>
      <c r="C119" s="255"/>
      <c r="D119" s="255"/>
      <c r="E119" s="255"/>
      <c r="F119" s="255"/>
      <c r="G119" s="255"/>
      <c r="H119" s="255"/>
      <c r="I119" s="255"/>
      <c r="J119" s="255"/>
      <c r="K119" s="1290"/>
      <c r="L119" s="1098"/>
      <c r="M119" s="4"/>
      <c r="N119" s="4"/>
      <c r="O119" s="4"/>
      <c r="P119"/>
      <c r="Q119"/>
      <c r="R119"/>
      <c r="S119"/>
      <c r="T119"/>
    </row>
    <row r="120" spans="1:20" ht="12" customHeight="1" thickBot="1" x14ac:dyDescent="0.25">
      <c r="A120" s="1659"/>
      <c r="B120" s="630" t="s">
        <v>392</v>
      </c>
      <c r="C120" s="631"/>
      <c r="D120" s="631">
        <f>SUM('5.a.sz. melléklet'!D35)</f>
        <v>4662</v>
      </c>
      <c r="E120" s="631"/>
      <c r="F120" s="631">
        <f>SUM('5.a.sz. melléklet'!F35)</f>
        <v>7320</v>
      </c>
      <c r="G120" s="631"/>
      <c r="H120" s="631"/>
      <c r="I120" s="631"/>
      <c r="J120" s="631"/>
      <c r="K120" s="1291"/>
      <c r="L120" s="1775">
        <f>SUM(C120:K120)</f>
        <v>11982</v>
      </c>
      <c r="M120" s="4"/>
      <c r="N120" s="4"/>
      <c r="O120" s="4"/>
      <c r="P120"/>
      <c r="Q120"/>
      <c r="R120"/>
      <c r="S120"/>
      <c r="T120"/>
    </row>
    <row r="121" spans="1:20" ht="0.2" customHeight="1" x14ac:dyDescent="0.2">
      <c r="A121" s="1772"/>
      <c r="B121" s="1773" t="s">
        <v>393</v>
      </c>
      <c r="C121" s="1521"/>
      <c r="D121" s="1521"/>
      <c r="E121" s="1521"/>
      <c r="F121" s="1521"/>
      <c r="G121" s="1521"/>
      <c r="H121" s="1521"/>
      <c r="I121" s="1521"/>
      <c r="J121" s="1521"/>
      <c r="K121" s="1774"/>
      <c r="L121" s="1098">
        <f>SUM(C121:K121)</f>
        <v>0</v>
      </c>
      <c r="M121" s="4"/>
      <c r="N121" s="4"/>
      <c r="O121" s="4"/>
      <c r="P121"/>
      <c r="Q121"/>
      <c r="R121"/>
      <c r="S121"/>
      <c r="T121"/>
    </row>
    <row r="122" spans="1:20" ht="0.2" customHeight="1" x14ac:dyDescent="0.2">
      <c r="A122" s="448"/>
      <c r="B122" s="173" t="s">
        <v>391</v>
      </c>
      <c r="C122" s="255"/>
      <c r="D122" s="255"/>
      <c r="E122" s="255"/>
      <c r="F122" s="255"/>
      <c r="G122" s="255"/>
      <c r="H122" s="255"/>
      <c r="I122" s="255"/>
      <c r="J122" s="255"/>
      <c r="K122" s="1290"/>
      <c r="L122" s="1098">
        <f>SUM(C122:K122)</f>
        <v>0</v>
      </c>
      <c r="M122" s="4"/>
      <c r="N122" s="4"/>
      <c r="O122" s="4"/>
      <c r="P122"/>
      <c r="Q122"/>
      <c r="R122"/>
      <c r="S122"/>
      <c r="T122"/>
    </row>
    <row r="123" spans="1:20" ht="12" customHeight="1" x14ac:dyDescent="0.2">
      <c r="A123" s="654" t="s">
        <v>268</v>
      </c>
      <c r="B123" s="655" t="s">
        <v>269</v>
      </c>
      <c r="C123" s="255"/>
      <c r="D123" s="255"/>
      <c r="E123" s="255"/>
      <c r="F123" s="255"/>
      <c r="G123" s="255"/>
      <c r="H123" s="255"/>
      <c r="I123" s="255"/>
      <c r="J123" s="255"/>
      <c r="K123" s="1290"/>
      <c r="L123" s="1098"/>
      <c r="M123" s="4"/>
      <c r="N123" s="4"/>
      <c r="O123" s="4"/>
      <c r="P123"/>
      <c r="Q123"/>
      <c r="R123"/>
      <c r="S123"/>
      <c r="T123"/>
    </row>
    <row r="124" spans="1:20" ht="12" customHeight="1" thickBot="1" x14ac:dyDescent="0.25">
      <c r="A124" s="1659"/>
      <c r="B124" s="630" t="s">
        <v>392</v>
      </c>
      <c r="C124" s="631">
        <f>SUM('5.a.sz. melléklet'!C39)</f>
        <v>900</v>
      </c>
      <c r="D124" s="631"/>
      <c r="E124" s="631"/>
      <c r="F124" s="631"/>
      <c r="G124" s="631"/>
      <c r="H124" s="631"/>
      <c r="I124" s="631"/>
      <c r="J124" s="631"/>
      <c r="K124" s="1291"/>
      <c r="L124" s="1775">
        <f>SUM(C124:K124)</f>
        <v>900</v>
      </c>
      <c r="M124" s="4"/>
      <c r="N124" s="4"/>
      <c r="O124" s="4"/>
      <c r="P124"/>
      <c r="Q124"/>
      <c r="R124"/>
      <c r="S124"/>
      <c r="T124"/>
    </row>
    <row r="125" spans="1:20" ht="0.2" customHeight="1" x14ac:dyDescent="0.2">
      <c r="A125" s="1772"/>
      <c r="B125" s="1773" t="s">
        <v>393</v>
      </c>
      <c r="C125" s="1521"/>
      <c r="D125" s="1521"/>
      <c r="E125" s="1521"/>
      <c r="F125" s="1521"/>
      <c r="G125" s="1521"/>
      <c r="H125" s="1521"/>
      <c r="I125" s="1521"/>
      <c r="J125" s="1521"/>
      <c r="K125" s="1774"/>
      <c r="L125" s="1098">
        <f>SUM(C125:K125)</f>
        <v>0</v>
      </c>
      <c r="M125" s="4"/>
      <c r="N125" s="4"/>
      <c r="O125" s="4"/>
      <c r="P125"/>
      <c r="Q125"/>
      <c r="R125"/>
      <c r="S125"/>
      <c r="T125"/>
    </row>
    <row r="126" spans="1:20" s="112" customFormat="1" ht="0.2" customHeight="1" x14ac:dyDescent="0.2">
      <c r="A126" s="443"/>
      <c r="B126" s="173" t="s">
        <v>391</v>
      </c>
      <c r="C126" s="255"/>
      <c r="D126" s="255"/>
      <c r="E126" s="255"/>
      <c r="F126" s="255"/>
      <c r="G126" s="255"/>
      <c r="H126" s="255"/>
      <c r="I126" s="255"/>
      <c r="J126" s="255"/>
      <c r="K126" s="1290"/>
      <c r="L126" s="1098">
        <f>SUM(C126:K126)</f>
        <v>0</v>
      </c>
      <c r="M126" s="468"/>
      <c r="N126" s="469"/>
      <c r="O126" s="110"/>
    </row>
    <row r="127" spans="1:20" s="112" customFormat="1" ht="18.75" customHeight="1" x14ac:dyDescent="0.2">
      <c r="A127" s="734" t="s">
        <v>315</v>
      </c>
      <c r="B127" s="655" t="s">
        <v>316</v>
      </c>
      <c r="C127" s="255"/>
      <c r="D127" s="255"/>
      <c r="E127" s="255"/>
      <c r="F127" s="255"/>
      <c r="G127" s="255"/>
      <c r="H127" s="255"/>
      <c r="I127" s="255"/>
      <c r="J127" s="255"/>
      <c r="K127" s="1290"/>
      <c r="L127" s="1098"/>
      <c r="M127" s="468"/>
      <c r="N127" s="469"/>
      <c r="O127" s="110"/>
    </row>
    <row r="128" spans="1:20" s="112" customFormat="1" ht="12" customHeight="1" thickBot="1" x14ac:dyDescent="0.25">
      <c r="A128" s="674"/>
      <c r="B128" s="457" t="s">
        <v>392</v>
      </c>
      <c r="C128" s="255"/>
      <c r="D128" s="255"/>
      <c r="E128" s="255"/>
      <c r="F128" s="255"/>
      <c r="G128" s="255"/>
      <c r="H128" s="255"/>
      <c r="I128" s="255"/>
      <c r="J128" s="255"/>
      <c r="K128" s="1290"/>
      <c r="L128" s="1098"/>
      <c r="M128" s="468"/>
      <c r="N128" s="469"/>
      <c r="O128" s="110"/>
    </row>
    <row r="129" spans="1:18" s="112" customFormat="1" ht="0.2" customHeight="1" x14ac:dyDescent="0.2">
      <c r="A129" s="674"/>
      <c r="B129" s="457" t="s">
        <v>393</v>
      </c>
      <c r="C129" s="255"/>
      <c r="D129" s="255"/>
      <c r="E129" s="255"/>
      <c r="F129" s="255"/>
      <c r="G129" s="255"/>
      <c r="H129" s="255"/>
      <c r="I129" s="255"/>
      <c r="J129" s="255"/>
      <c r="K129" s="1290"/>
      <c r="L129" s="1098"/>
      <c r="M129" s="468"/>
      <c r="N129" s="469"/>
      <c r="O129" s="110"/>
    </row>
    <row r="130" spans="1:18" s="112" customFormat="1" ht="0.2" customHeight="1" thickBot="1" x14ac:dyDescent="0.25">
      <c r="A130" s="689"/>
      <c r="B130" s="686" t="s">
        <v>391</v>
      </c>
      <c r="C130" s="631">
        <v>39</v>
      </c>
      <c r="D130" s="631"/>
      <c r="E130" s="631"/>
      <c r="F130" s="631"/>
      <c r="G130" s="631"/>
      <c r="H130" s="631"/>
      <c r="I130" s="631"/>
      <c r="J130" s="631"/>
      <c r="K130" s="1291"/>
      <c r="L130" s="1645">
        <f>SUM(C130:K130)</f>
        <v>39</v>
      </c>
      <c r="M130" s="468"/>
      <c r="N130" s="469"/>
      <c r="O130" s="110"/>
    </row>
    <row r="131" spans="1:18" ht="21" customHeight="1" x14ac:dyDescent="0.2">
      <c r="A131" s="1969" t="s">
        <v>407</v>
      </c>
      <c r="B131" s="1970"/>
      <c r="C131" s="664"/>
      <c r="D131" s="664"/>
      <c r="E131" s="664"/>
      <c r="F131" s="664"/>
      <c r="G131" s="664"/>
      <c r="H131" s="664"/>
      <c r="I131" s="664"/>
      <c r="J131" s="664"/>
      <c r="K131" s="664"/>
      <c r="L131" s="1700"/>
      <c r="M131" s="463"/>
      <c r="N131" s="464"/>
      <c r="O131" s="194"/>
      <c r="P131" s="194"/>
    </row>
    <row r="132" spans="1:18" ht="12" customHeight="1" x14ac:dyDescent="0.2">
      <c r="A132" s="663"/>
      <c r="B132" s="659" t="s">
        <v>392</v>
      </c>
      <c r="C132" s="660">
        <f t="shared" ref="C132:K132" si="1">C120+C124</f>
        <v>900</v>
      </c>
      <c r="D132" s="660">
        <f t="shared" si="1"/>
        <v>4662</v>
      </c>
      <c r="E132" s="660">
        <f t="shared" si="1"/>
        <v>0</v>
      </c>
      <c r="F132" s="660">
        <f>F120+F124+F116+F112</f>
        <v>9225</v>
      </c>
      <c r="G132" s="660">
        <f t="shared" si="1"/>
        <v>0</v>
      </c>
      <c r="H132" s="660">
        <f t="shared" si="1"/>
        <v>0</v>
      </c>
      <c r="I132" s="660">
        <f t="shared" si="1"/>
        <v>0</v>
      </c>
      <c r="J132" s="660">
        <f t="shared" si="1"/>
        <v>0</v>
      </c>
      <c r="K132" s="660">
        <f t="shared" si="1"/>
        <v>0</v>
      </c>
      <c r="L132" s="660">
        <f>L120+L124+L116+L112</f>
        <v>14787</v>
      </c>
      <c r="M132" s="463">
        <f>SUM(C132:K132)</f>
        <v>14787</v>
      </c>
      <c r="N132" s="464"/>
      <c r="O132" s="194"/>
      <c r="P132" s="194"/>
    </row>
    <row r="133" spans="1:18" ht="0.2" customHeight="1" x14ac:dyDescent="0.2">
      <c r="A133" s="663"/>
      <c r="B133" s="659" t="s">
        <v>393</v>
      </c>
      <c r="C133" s="660">
        <f>C121+C125</f>
        <v>0</v>
      </c>
      <c r="D133" s="660">
        <f>D121+D125</f>
        <v>0</v>
      </c>
      <c r="E133" s="660">
        <f>E121+E125+E113</f>
        <v>0</v>
      </c>
      <c r="F133" s="660">
        <f>F121+F125+F117</f>
        <v>0</v>
      </c>
      <c r="G133" s="660">
        <f t="shared" ref="G133:K134" si="2">G121+G125</f>
        <v>0</v>
      </c>
      <c r="H133" s="660">
        <f t="shared" si="2"/>
        <v>0</v>
      </c>
      <c r="I133" s="660">
        <f t="shared" si="2"/>
        <v>0</v>
      </c>
      <c r="J133" s="660">
        <f t="shared" si="2"/>
        <v>0</v>
      </c>
      <c r="K133" s="660">
        <f t="shared" si="2"/>
        <v>0</v>
      </c>
      <c r="L133" s="660">
        <f>L121+L125+L117+L113</f>
        <v>0</v>
      </c>
      <c r="M133" s="463"/>
      <c r="N133" s="464"/>
      <c r="O133" s="194"/>
      <c r="P133" s="194"/>
    </row>
    <row r="134" spans="1:18" ht="0.2" customHeight="1" x14ac:dyDescent="0.2">
      <c r="A134" s="1149"/>
      <c r="B134" s="659" t="s">
        <v>391</v>
      </c>
      <c r="C134" s="660">
        <f>C122+C126</f>
        <v>0</v>
      </c>
      <c r="D134" s="660">
        <f>D122+D126</f>
        <v>0</v>
      </c>
      <c r="E134" s="660">
        <f>E122+E126+E114</f>
        <v>0</v>
      </c>
      <c r="F134" s="660">
        <f>F122+F126+F118</f>
        <v>0</v>
      </c>
      <c r="G134" s="660">
        <f t="shared" si="2"/>
        <v>0</v>
      </c>
      <c r="H134" s="660">
        <f t="shared" si="2"/>
        <v>0</v>
      </c>
      <c r="I134" s="660">
        <f t="shared" si="2"/>
        <v>0</v>
      </c>
      <c r="J134" s="660">
        <f t="shared" si="2"/>
        <v>0</v>
      </c>
      <c r="K134" s="660">
        <f t="shared" si="2"/>
        <v>0</v>
      </c>
      <c r="L134" s="660">
        <f>L122+L126+L118+L114+L130</f>
        <v>39</v>
      </c>
      <c r="M134" s="463"/>
      <c r="N134" s="464"/>
      <c r="O134" s="194"/>
      <c r="P134" s="194"/>
    </row>
    <row r="135" spans="1:18" ht="12" customHeight="1" thickBot="1" x14ac:dyDescent="0.25">
      <c r="A135" s="663"/>
      <c r="B135" s="659"/>
      <c r="C135" s="660"/>
      <c r="D135" s="660"/>
      <c r="E135" s="660"/>
      <c r="F135" s="1119"/>
      <c r="G135" s="660"/>
      <c r="H135" s="660"/>
      <c r="I135" s="660"/>
      <c r="J135" s="660"/>
      <c r="K135" s="660"/>
      <c r="L135" s="660"/>
      <c r="M135" s="463"/>
      <c r="N135" s="464"/>
      <c r="O135" s="194"/>
      <c r="P135" s="194"/>
    </row>
    <row r="136" spans="1:18" ht="11.25" customHeight="1" x14ac:dyDescent="0.2">
      <c r="A136" s="1971" t="s">
        <v>408</v>
      </c>
      <c r="B136" s="1972"/>
      <c r="C136" s="665"/>
      <c r="D136" s="665"/>
      <c r="E136" s="665"/>
      <c r="F136" s="1823"/>
      <c r="G136" s="665"/>
      <c r="H136" s="665"/>
      <c r="I136" s="665"/>
      <c r="J136" s="665"/>
      <c r="K136" s="665"/>
      <c r="L136" s="254"/>
      <c r="M136" s="463"/>
      <c r="N136" s="464"/>
      <c r="O136" s="194"/>
      <c r="P136" s="194"/>
    </row>
    <row r="137" spans="1:18" ht="12" customHeight="1" x14ac:dyDescent="0.2">
      <c r="A137" s="663"/>
      <c r="B137" s="659" t="s">
        <v>392</v>
      </c>
      <c r="C137" s="660">
        <f t="shared" ref="C137:L137" si="3">C104+C132</f>
        <v>60363</v>
      </c>
      <c r="D137" s="660">
        <f t="shared" si="3"/>
        <v>548194</v>
      </c>
      <c r="E137" s="660">
        <f t="shared" si="3"/>
        <v>113279</v>
      </c>
      <c r="F137" s="660">
        <f t="shared" si="3"/>
        <v>19205</v>
      </c>
      <c r="G137" s="660">
        <f t="shared" si="3"/>
        <v>240017</v>
      </c>
      <c r="H137" s="660">
        <f t="shared" si="3"/>
        <v>0</v>
      </c>
      <c r="I137" s="660">
        <f t="shared" si="3"/>
        <v>30430</v>
      </c>
      <c r="J137" s="660">
        <f t="shared" si="3"/>
        <v>350000</v>
      </c>
      <c r="K137" s="660">
        <f t="shared" si="3"/>
        <v>100000</v>
      </c>
      <c r="L137" s="660">
        <f t="shared" si="3"/>
        <v>1461488</v>
      </c>
      <c r="M137" s="463">
        <f>SUM(C137:K137)</f>
        <v>1461488</v>
      </c>
      <c r="N137" s="464"/>
      <c r="O137" s="194"/>
      <c r="P137" s="194"/>
    </row>
    <row r="138" spans="1:18" ht="0.2" customHeight="1" x14ac:dyDescent="0.2">
      <c r="A138" s="663"/>
      <c r="B138" s="659" t="s">
        <v>393</v>
      </c>
      <c r="C138" s="660">
        <f t="shared" ref="C138:K138" si="4">C105+C133</f>
        <v>0</v>
      </c>
      <c r="D138" s="660">
        <f t="shared" si="4"/>
        <v>0</v>
      </c>
      <c r="E138" s="660">
        <f t="shared" si="4"/>
        <v>165</v>
      </c>
      <c r="F138" s="660">
        <f t="shared" si="4"/>
        <v>0</v>
      </c>
      <c r="G138" s="660">
        <f t="shared" si="4"/>
        <v>0</v>
      </c>
      <c r="H138" s="660">
        <f t="shared" si="4"/>
        <v>0</v>
      </c>
      <c r="I138" s="660">
        <f t="shared" si="4"/>
        <v>0</v>
      </c>
      <c r="J138" s="660">
        <f t="shared" si="4"/>
        <v>0</v>
      </c>
      <c r="K138" s="660">
        <f t="shared" si="4"/>
        <v>0</v>
      </c>
      <c r="L138" s="660">
        <f>SUM(L133,L105)</f>
        <v>165</v>
      </c>
      <c r="M138" s="463">
        <v>1877678</v>
      </c>
      <c r="N138" s="464">
        <f>SUM(C138:K138)</f>
        <v>165</v>
      </c>
      <c r="O138" s="194"/>
      <c r="P138" s="194"/>
    </row>
    <row r="139" spans="1:18" ht="0.2" customHeight="1" x14ac:dyDescent="0.2">
      <c r="A139" s="1149"/>
      <c r="B139" s="659" t="s">
        <v>391</v>
      </c>
      <c r="C139" s="660">
        <f t="shared" ref="C139:K139" si="5">C106+C134</f>
        <v>0</v>
      </c>
      <c r="D139" s="660">
        <f t="shared" si="5"/>
        <v>0</v>
      </c>
      <c r="E139" s="660">
        <f t="shared" si="5"/>
        <v>0</v>
      </c>
      <c r="F139" s="660">
        <f t="shared" si="5"/>
        <v>0</v>
      </c>
      <c r="G139" s="660">
        <f t="shared" si="5"/>
        <v>0</v>
      </c>
      <c r="H139" s="660">
        <f t="shared" si="5"/>
        <v>0</v>
      </c>
      <c r="I139" s="660">
        <f t="shared" si="5"/>
        <v>0</v>
      </c>
      <c r="J139" s="660">
        <f t="shared" si="5"/>
        <v>0</v>
      </c>
      <c r="K139" s="660">
        <f t="shared" si="5"/>
        <v>0</v>
      </c>
      <c r="L139" s="660">
        <f>SUM(L134,L106)</f>
        <v>39</v>
      </c>
      <c r="M139" s="463"/>
      <c r="N139" s="464"/>
      <c r="O139" s="194"/>
      <c r="P139" s="194"/>
    </row>
    <row r="140" spans="1:18" ht="0.2" customHeight="1" x14ac:dyDescent="0.2">
      <c r="A140" s="663"/>
      <c r="B140" s="659" t="s">
        <v>498</v>
      </c>
      <c r="C140" s="1275" t="e">
        <f>SUM(C139/C138)</f>
        <v>#DIV/0!</v>
      </c>
      <c r="D140" s="1275" t="e">
        <f t="shared" ref="D140:L140" si="6">SUM(D139/D138)</f>
        <v>#DIV/0!</v>
      </c>
      <c r="E140" s="1275">
        <f t="shared" si="6"/>
        <v>0</v>
      </c>
      <c r="F140" s="1275" t="e">
        <f t="shared" si="6"/>
        <v>#DIV/0!</v>
      </c>
      <c r="G140" s="1275" t="e">
        <f t="shared" si="6"/>
        <v>#DIV/0!</v>
      </c>
      <c r="H140" s="1275" t="e">
        <f t="shared" si="6"/>
        <v>#DIV/0!</v>
      </c>
      <c r="I140" s="1275" t="e">
        <f t="shared" si="6"/>
        <v>#DIV/0!</v>
      </c>
      <c r="J140" s="1275" t="e">
        <f t="shared" si="6"/>
        <v>#DIV/0!</v>
      </c>
      <c r="K140" s="1275" t="e">
        <f t="shared" si="6"/>
        <v>#DIV/0!</v>
      </c>
      <c r="L140" s="1275">
        <f t="shared" si="6"/>
        <v>0.23636363636363636</v>
      </c>
      <c r="M140" s="463"/>
      <c r="N140" s="464"/>
      <c r="O140" s="194"/>
      <c r="P140" s="194"/>
    </row>
    <row r="141" spans="1:18" x14ac:dyDescent="0.2">
      <c r="A141" s="462"/>
      <c r="B141" s="665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4"/>
      <c r="O141" s="194"/>
      <c r="P141" s="194"/>
    </row>
    <row r="142" spans="1:18" s="102" customFormat="1" ht="62.25" customHeight="1" x14ac:dyDescent="0.2">
      <c r="A142" s="441" t="s">
        <v>238</v>
      </c>
      <c r="B142" s="192" t="s">
        <v>239</v>
      </c>
      <c r="C142" s="446" t="s">
        <v>10</v>
      </c>
      <c r="D142" s="193" t="s">
        <v>240</v>
      </c>
      <c r="E142" s="193" t="s">
        <v>109</v>
      </c>
      <c r="F142" s="193" t="s">
        <v>241</v>
      </c>
      <c r="G142" s="193" t="s">
        <v>129</v>
      </c>
      <c r="H142" s="193" t="s">
        <v>128</v>
      </c>
      <c r="I142" s="193" t="s">
        <v>242</v>
      </c>
      <c r="J142" s="193" t="s">
        <v>335</v>
      </c>
      <c r="K142" s="193" t="s">
        <v>110</v>
      </c>
      <c r="L142" s="193" t="s">
        <v>148</v>
      </c>
      <c r="M142" s="193" t="s">
        <v>59</v>
      </c>
      <c r="N142" s="195" t="s">
        <v>22</v>
      </c>
      <c r="O142" s="191"/>
      <c r="P142" s="191"/>
      <c r="Q142" s="191"/>
      <c r="R142" s="191"/>
    </row>
    <row r="143" spans="1:18" s="162" customFormat="1" ht="12" customHeight="1" thickBot="1" x14ac:dyDescent="0.2">
      <c r="A143" s="1965" t="s">
        <v>184</v>
      </c>
      <c r="B143" s="1966"/>
    </row>
    <row r="144" spans="1:18" s="670" customFormat="1" ht="12" customHeight="1" x14ac:dyDescent="0.15">
      <c r="A144" s="1030" t="s">
        <v>244</v>
      </c>
      <c r="B144" s="1396" t="s">
        <v>3</v>
      </c>
      <c r="C144" s="1397"/>
      <c r="D144" s="1397"/>
      <c r="E144" s="1397"/>
      <c r="F144" s="1397"/>
      <c r="G144" s="1397"/>
      <c r="H144" s="1397"/>
      <c r="I144" s="1397"/>
      <c r="J144" s="1397"/>
      <c r="K144" s="1397"/>
      <c r="L144" s="1397"/>
      <c r="M144" s="1398"/>
      <c r="N144" s="1701"/>
    </row>
    <row r="145" spans="1:14" s="670" customFormat="1" ht="12" customHeight="1" thickBot="1" x14ac:dyDescent="0.2">
      <c r="A145" s="1660"/>
      <c r="B145" s="686" t="s">
        <v>392</v>
      </c>
      <c r="C145" s="1830">
        <f>SUM('6. sz.melléklet'!C6)</f>
        <v>21573</v>
      </c>
      <c r="D145" s="1830">
        <f>SUM('6. sz.melléklet'!D6)</f>
        <v>7463</v>
      </c>
      <c r="E145" s="1830">
        <f>SUM('6. sz.melléklet'!E6)</f>
        <v>24202</v>
      </c>
      <c r="F145" s="1830"/>
      <c r="G145" s="1830"/>
      <c r="H145" s="1830"/>
      <c r="I145" s="1830">
        <f>SUM('6. sz.melléklet'!I6)</f>
        <v>16223</v>
      </c>
      <c r="J145" s="1830"/>
      <c r="K145" s="1830"/>
      <c r="L145" s="1830"/>
      <c r="M145" s="1831"/>
      <c r="N145" s="1395">
        <f t="shared" ref="N145:N210" si="7">SUM(C145:M145)</f>
        <v>69461</v>
      </c>
    </row>
    <row r="146" spans="1:14" s="670" customFormat="1" ht="0.2" customHeight="1" x14ac:dyDescent="0.15">
      <c r="A146" s="1824"/>
      <c r="B146" s="1825" t="s">
        <v>393</v>
      </c>
      <c r="C146" s="1826"/>
      <c r="D146" s="1826"/>
      <c r="E146" s="1826"/>
      <c r="F146" s="1826"/>
      <c r="G146" s="1826"/>
      <c r="H146" s="1826"/>
      <c r="I146" s="1826"/>
      <c r="J146" s="1826"/>
      <c r="K146" s="1826"/>
      <c r="L146" s="1826"/>
      <c r="M146" s="1827"/>
      <c r="N146" s="1394">
        <f t="shared" si="7"/>
        <v>0</v>
      </c>
    </row>
    <row r="147" spans="1:14" s="670" customFormat="1" ht="0.2" customHeight="1" x14ac:dyDescent="0.15">
      <c r="A147" s="671"/>
      <c r="B147" s="457" t="s">
        <v>391</v>
      </c>
      <c r="C147" s="669"/>
      <c r="D147" s="669"/>
      <c r="E147" s="669"/>
      <c r="F147" s="669"/>
      <c r="G147" s="669"/>
      <c r="H147" s="669"/>
      <c r="I147" s="669"/>
      <c r="J147" s="669"/>
      <c r="K147" s="669"/>
      <c r="L147" s="669"/>
      <c r="M147" s="1399"/>
      <c r="N147" s="1393">
        <f t="shared" ref="N147" si="8">SUM(C147:M147)</f>
        <v>0</v>
      </c>
    </row>
    <row r="148" spans="1:14" s="670" customFormat="1" ht="22.5" customHeight="1" x14ac:dyDescent="0.2">
      <c r="A148" s="654" t="s">
        <v>245</v>
      </c>
      <c r="B148" s="655" t="s">
        <v>116</v>
      </c>
      <c r="C148" s="445"/>
      <c r="D148" s="445"/>
      <c r="E148" s="445"/>
      <c r="F148" s="445"/>
      <c r="G148" s="445"/>
      <c r="H148" s="445"/>
      <c r="I148" s="445"/>
      <c r="J148" s="445"/>
      <c r="K148" s="445"/>
      <c r="L148" s="445"/>
      <c r="M148" s="1344"/>
      <c r="N148" s="1343"/>
    </row>
    <row r="149" spans="1:14" s="670" customFormat="1" ht="12" customHeight="1" thickBot="1" x14ac:dyDescent="0.25">
      <c r="A149" s="823"/>
      <c r="B149" s="1099" t="s">
        <v>392</v>
      </c>
      <c r="C149" s="568"/>
      <c r="D149" s="568"/>
      <c r="E149" s="568">
        <f>SUM('6. sz.melléklet'!E10)</f>
        <v>100</v>
      </c>
      <c r="F149" s="568"/>
      <c r="G149" s="568"/>
      <c r="H149" s="568"/>
      <c r="I149" s="568"/>
      <c r="J149" s="568"/>
      <c r="K149" s="568"/>
      <c r="L149" s="568"/>
      <c r="M149" s="1832"/>
      <c r="N149" s="1833"/>
    </row>
    <row r="150" spans="1:14" s="670" customFormat="1" ht="0.2" customHeight="1" x14ac:dyDescent="0.2">
      <c r="A150" s="1519"/>
      <c r="B150" s="1520" t="s">
        <v>393</v>
      </c>
      <c r="C150" s="566"/>
      <c r="D150" s="566"/>
      <c r="E150" s="566"/>
      <c r="F150" s="566"/>
      <c r="G150" s="566"/>
      <c r="H150" s="566"/>
      <c r="I150" s="566"/>
      <c r="J150" s="566"/>
      <c r="K150" s="566"/>
      <c r="L150" s="566"/>
      <c r="M150" s="1828"/>
      <c r="N150" s="1343"/>
    </row>
    <row r="151" spans="1:14" s="670" customFormat="1" ht="0.2" customHeight="1" x14ac:dyDescent="0.2">
      <c r="A151" s="1136"/>
      <c r="B151" s="1137" t="s">
        <v>391</v>
      </c>
      <c r="C151" s="445"/>
      <c r="D151" s="445"/>
      <c r="E151" s="445"/>
      <c r="F151" s="445"/>
      <c r="G151" s="445"/>
      <c r="H151" s="445"/>
      <c r="I151" s="445"/>
      <c r="J151" s="445"/>
      <c r="K151" s="445"/>
      <c r="L151" s="445"/>
      <c r="M151" s="1344"/>
      <c r="N151" s="1343">
        <f>SUM(E151:M151)</f>
        <v>0</v>
      </c>
    </row>
    <row r="152" spans="1:14" s="670" customFormat="1" ht="12" customHeight="1" x14ac:dyDescent="0.15">
      <c r="A152" s="668" t="s">
        <v>256</v>
      </c>
      <c r="B152" s="656" t="s">
        <v>263</v>
      </c>
      <c r="C152" s="669"/>
      <c r="D152" s="669"/>
      <c r="E152" s="669"/>
      <c r="F152" s="669"/>
      <c r="G152" s="669"/>
      <c r="H152" s="669"/>
      <c r="I152" s="669"/>
      <c r="J152" s="669"/>
      <c r="K152" s="669"/>
      <c r="L152" s="669"/>
      <c r="M152" s="1399"/>
      <c r="N152" s="1394"/>
    </row>
    <row r="153" spans="1:14" s="670" customFormat="1" ht="12" customHeight="1" thickBot="1" x14ac:dyDescent="0.2">
      <c r="A153" s="1660"/>
      <c r="B153" s="686" t="s">
        <v>392</v>
      </c>
      <c r="C153" s="1830">
        <f>SUM('6. sz.melléklet'!C14)</f>
        <v>360</v>
      </c>
      <c r="D153" s="1830">
        <f>SUM('6. sz.melléklet'!D14)</f>
        <v>97</v>
      </c>
      <c r="E153" s="1830">
        <f>SUM('6. sz.melléklet'!E14)</f>
        <v>43205</v>
      </c>
      <c r="F153" s="1830"/>
      <c r="G153" s="1830">
        <f>SUM('6. sz.melléklet'!G14)</f>
        <v>157360</v>
      </c>
      <c r="H153" s="1830">
        <f>SUM('6. sz.melléklet'!H14)</f>
        <v>283430</v>
      </c>
      <c r="I153" s="1830"/>
      <c r="J153" s="1830"/>
      <c r="K153" s="1830"/>
      <c r="L153" s="1830"/>
      <c r="M153" s="1831"/>
      <c r="N153" s="1834">
        <f t="shared" si="7"/>
        <v>484452</v>
      </c>
    </row>
    <row r="154" spans="1:14" s="670" customFormat="1" ht="0.2" customHeight="1" x14ac:dyDescent="0.15">
      <c r="A154" s="1824"/>
      <c r="B154" s="1825" t="s">
        <v>393</v>
      </c>
      <c r="C154" s="1826"/>
      <c r="D154" s="1826"/>
      <c r="E154" s="1826"/>
      <c r="F154" s="1826"/>
      <c r="G154" s="1826"/>
      <c r="H154" s="1826"/>
      <c r="I154" s="1826"/>
      <c r="J154" s="1826"/>
      <c r="K154" s="1826"/>
      <c r="L154" s="1826"/>
      <c r="M154" s="1827"/>
      <c r="N154" s="1394">
        <f t="shared" si="7"/>
        <v>0</v>
      </c>
    </row>
    <row r="155" spans="1:14" s="670" customFormat="1" ht="0.2" customHeight="1" thickBot="1" x14ac:dyDescent="0.2">
      <c r="A155" s="671"/>
      <c r="B155" s="457" t="s">
        <v>391</v>
      </c>
      <c r="C155" s="669"/>
      <c r="D155" s="669"/>
      <c r="E155" s="669"/>
      <c r="F155" s="669"/>
      <c r="G155" s="669"/>
      <c r="H155" s="669"/>
      <c r="I155" s="669"/>
      <c r="J155" s="669"/>
      <c r="K155" s="669"/>
      <c r="L155" s="669"/>
      <c r="M155" s="1399"/>
      <c r="N155" s="1703">
        <f t="shared" ref="N155" si="9">SUM(C155:M155)</f>
        <v>0</v>
      </c>
    </row>
    <row r="156" spans="1:14" s="670" customFormat="1" ht="27.75" customHeight="1" x14ac:dyDescent="0.2">
      <c r="A156" s="668" t="s">
        <v>325</v>
      </c>
      <c r="B156" s="655" t="s">
        <v>470</v>
      </c>
      <c r="C156" s="445"/>
      <c r="D156" s="445"/>
      <c r="E156" s="445"/>
      <c r="F156" s="445"/>
      <c r="G156" s="445"/>
      <c r="H156" s="445"/>
      <c r="I156" s="445"/>
      <c r="J156" s="445"/>
      <c r="K156" s="445"/>
      <c r="L156" s="445"/>
      <c r="M156" s="1344"/>
      <c r="N156" s="1702"/>
    </row>
    <row r="157" spans="1:14" s="670" customFormat="1" ht="12" customHeight="1" thickBot="1" x14ac:dyDescent="0.25">
      <c r="A157" s="1660"/>
      <c r="B157" s="686" t="s">
        <v>392</v>
      </c>
      <c r="C157" s="568"/>
      <c r="D157" s="568"/>
      <c r="E157" s="568"/>
      <c r="F157" s="568"/>
      <c r="G157" s="568"/>
      <c r="H157" s="568"/>
      <c r="I157" s="568"/>
      <c r="J157" s="568"/>
      <c r="K157" s="568"/>
      <c r="L157" s="568"/>
      <c r="M157" s="1831">
        <f>SUM('6. sz.melléklet'!M18)</f>
        <v>3424</v>
      </c>
      <c r="N157" s="1834"/>
    </row>
    <row r="158" spans="1:14" s="670" customFormat="1" ht="0.2" customHeight="1" x14ac:dyDescent="0.2">
      <c r="A158" s="1824"/>
      <c r="B158" s="1825" t="s">
        <v>393</v>
      </c>
      <c r="C158" s="566"/>
      <c r="D158" s="566"/>
      <c r="E158" s="566"/>
      <c r="F158" s="566"/>
      <c r="G158" s="566"/>
      <c r="H158" s="566"/>
      <c r="I158" s="566"/>
      <c r="J158" s="566"/>
      <c r="K158" s="566"/>
      <c r="L158" s="566"/>
      <c r="M158" s="1828"/>
      <c r="N158" s="1394">
        <f>SUM(C158:M158)</f>
        <v>0</v>
      </c>
    </row>
    <row r="159" spans="1:14" s="670" customFormat="1" ht="0.2" customHeight="1" x14ac:dyDescent="0.2">
      <c r="A159" s="671"/>
      <c r="B159" s="457" t="s">
        <v>391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1344"/>
      <c r="N159" s="1393">
        <f>SUM(C159:M159)</f>
        <v>0</v>
      </c>
    </row>
    <row r="160" spans="1:14" s="670" customFormat="1" ht="12" customHeight="1" x14ac:dyDescent="0.15">
      <c r="A160" s="668" t="s">
        <v>305</v>
      </c>
      <c r="B160" s="656" t="s">
        <v>306</v>
      </c>
      <c r="C160" s="669"/>
      <c r="D160" s="669"/>
      <c r="E160" s="669"/>
      <c r="F160" s="669"/>
      <c r="G160" s="669"/>
      <c r="H160" s="669"/>
      <c r="I160" s="669"/>
      <c r="J160" s="669"/>
      <c r="K160" s="669"/>
      <c r="L160" s="669"/>
      <c r="M160" s="1399"/>
      <c r="N160" s="1394"/>
    </row>
    <row r="161" spans="1:14" s="670" customFormat="1" ht="12" customHeight="1" thickBot="1" x14ac:dyDescent="0.2">
      <c r="A161" s="1660"/>
      <c r="B161" s="686" t="s">
        <v>392</v>
      </c>
      <c r="C161" s="1830"/>
      <c r="D161" s="1830"/>
      <c r="E161" s="1830"/>
      <c r="F161" s="1830"/>
      <c r="G161" s="1830"/>
      <c r="H161" s="1830"/>
      <c r="I161" s="1830"/>
      <c r="J161" s="1830"/>
      <c r="K161" s="1830"/>
      <c r="L161" s="1830"/>
      <c r="M161" s="1831">
        <f>SUM('6. sz.melléklet'!M22)</f>
        <v>385689</v>
      </c>
      <c r="N161" s="1395">
        <f t="shared" si="7"/>
        <v>385689</v>
      </c>
    </row>
    <row r="162" spans="1:14" s="670" customFormat="1" ht="0.2" customHeight="1" x14ac:dyDescent="0.15">
      <c r="A162" s="1824"/>
      <c r="B162" s="1825" t="s">
        <v>393</v>
      </c>
      <c r="C162" s="1826"/>
      <c r="D162" s="1826"/>
      <c r="E162" s="1826"/>
      <c r="F162" s="1826"/>
      <c r="G162" s="1826"/>
      <c r="H162" s="1826"/>
      <c r="I162" s="1826"/>
      <c r="J162" s="1826"/>
      <c r="K162" s="1826"/>
      <c r="L162" s="1826"/>
      <c r="M162" s="1827"/>
      <c r="N162" s="1394">
        <f t="shared" si="7"/>
        <v>0</v>
      </c>
    </row>
    <row r="163" spans="1:14" s="670" customFormat="1" ht="0.2" customHeight="1" x14ac:dyDescent="0.15">
      <c r="A163" s="671"/>
      <c r="B163" s="457" t="s">
        <v>391</v>
      </c>
      <c r="C163" s="669"/>
      <c r="D163" s="669"/>
      <c r="E163" s="669"/>
      <c r="F163" s="669"/>
      <c r="G163" s="669"/>
      <c r="H163" s="669"/>
      <c r="I163" s="669"/>
      <c r="J163" s="669"/>
      <c r="K163" s="669"/>
      <c r="L163" s="669"/>
      <c r="M163" s="1399"/>
      <c r="N163" s="1393">
        <f t="shared" ref="N163" si="10">SUM(C163:M163)</f>
        <v>0</v>
      </c>
    </row>
    <row r="164" spans="1:14" s="162" customFormat="1" ht="19.5" customHeight="1" x14ac:dyDescent="0.15">
      <c r="A164" s="734" t="s">
        <v>270</v>
      </c>
      <c r="B164" s="655" t="s">
        <v>171</v>
      </c>
      <c r="C164" s="675"/>
      <c r="D164" s="675"/>
      <c r="E164" s="675"/>
      <c r="F164" s="675"/>
      <c r="G164" s="675"/>
      <c r="H164" s="675"/>
      <c r="I164" s="673"/>
      <c r="J164" s="673"/>
      <c r="K164" s="673"/>
      <c r="L164" s="673"/>
      <c r="M164" s="1400"/>
      <c r="N164" s="1394"/>
    </row>
    <row r="165" spans="1:14" s="162" customFormat="1" ht="12" customHeight="1" thickBot="1" x14ac:dyDescent="0.2">
      <c r="A165" s="689"/>
      <c r="B165" s="686" t="s">
        <v>392</v>
      </c>
      <c r="C165" s="690"/>
      <c r="D165" s="690"/>
      <c r="E165" s="690">
        <f>SUM('6. sz.melléklet'!E42)</f>
        <v>9655</v>
      </c>
      <c r="F165" s="690"/>
      <c r="G165" s="690">
        <f>SUM('6. sz.melléklet'!G42)</f>
        <v>70000</v>
      </c>
      <c r="H165" s="690"/>
      <c r="I165" s="691"/>
      <c r="J165" s="691"/>
      <c r="K165" s="691"/>
      <c r="L165" s="691"/>
      <c r="M165" s="1402"/>
      <c r="N165" s="1395">
        <f t="shared" si="7"/>
        <v>79655</v>
      </c>
    </row>
    <row r="166" spans="1:14" s="162" customFormat="1" ht="0.2" customHeight="1" x14ac:dyDescent="0.15">
      <c r="A166" s="1822"/>
      <c r="B166" s="1825" t="s">
        <v>393</v>
      </c>
      <c r="C166" s="692"/>
      <c r="D166" s="692"/>
      <c r="E166" s="692"/>
      <c r="F166" s="692"/>
      <c r="G166" s="692"/>
      <c r="H166" s="692"/>
      <c r="I166" s="688"/>
      <c r="J166" s="688"/>
      <c r="K166" s="688"/>
      <c r="L166" s="688"/>
      <c r="M166" s="1829"/>
      <c r="N166" s="1394">
        <f t="shared" si="7"/>
        <v>0</v>
      </c>
    </row>
    <row r="167" spans="1:14" s="162" customFormat="1" ht="0.2" customHeight="1" x14ac:dyDescent="0.15">
      <c r="A167" s="674"/>
      <c r="B167" s="457" t="s">
        <v>391</v>
      </c>
      <c r="C167" s="675"/>
      <c r="D167" s="675"/>
      <c r="E167" s="675"/>
      <c r="F167" s="675"/>
      <c r="G167" s="675"/>
      <c r="H167" s="675"/>
      <c r="I167" s="673"/>
      <c r="J167" s="673"/>
      <c r="K167" s="673"/>
      <c r="L167" s="673"/>
      <c r="M167" s="1400"/>
      <c r="N167" s="1393">
        <f t="shared" ref="N167" si="11">SUM(C167:M167)</f>
        <v>0</v>
      </c>
    </row>
    <row r="168" spans="1:14" s="162" customFormat="1" ht="20.25" customHeight="1" x14ac:dyDescent="0.15">
      <c r="A168" s="734" t="s">
        <v>271</v>
      </c>
      <c r="B168" s="655" t="s">
        <v>272</v>
      </c>
      <c r="C168" s="675"/>
      <c r="D168" s="675"/>
      <c r="E168" s="675"/>
      <c r="F168" s="675"/>
      <c r="G168" s="675"/>
      <c r="H168" s="675"/>
      <c r="I168" s="673"/>
      <c r="J168" s="673"/>
      <c r="K168" s="673"/>
      <c r="L168" s="673"/>
      <c r="M168" s="1400"/>
      <c r="N168" s="1394"/>
    </row>
    <row r="169" spans="1:14" s="162" customFormat="1" ht="12" customHeight="1" thickBot="1" x14ac:dyDescent="0.2">
      <c r="A169" s="689"/>
      <c r="B169" s="686" t="s">
        <v>392</v>
      </c>
      <c r="C169" s="690"/>
      <c r="D169" s="690"/>
      <c r="E169" s="690">
        <f>SUM('6. sz.melléklet'!E46)</f>
        <v>1148</v>
      </c>
      <c r="F169" s="690"/>
      <c r="G169" s="690"/>
      <c r="H169" s="690"/>
      <c r="I169" s="691"/>
      <c r="J169" s="691"/>
      <c r="K169" s="691"/>
      <c r="L169" s="691"/>
      <c r="M169" s="1402"/>
      <c r="N169" s="1395">
        <f t="shared" si="7"/>
        <v>1148</v>
      </c>
    </row>
    <row r="170" spans="1:14" s="162" customFormat="1" ht="0.2" customHeight="1" x14ac:dyDescent="0.15">
      <c r="A170" s="1822"/>
      <c r="B170" s="1825" t="s">
        <v>393</v>
      </c>
      <c r="C170" s="692"/>
      <c r="D170" s="692"/>
      <c r="E170" s="692"/>
      <c r="F170" s="692"/>
      <c r="G170" s="692"/>
      <c r="H170" s="692"/>
      <c r="I170" s="688"/>
      <c r="J170" s="688"/>
      <c r="K170" s="688"/>
      <c r="L170" s="688"/>
      <c r="M170" s="1829"/>
      <c r="N170" s="1394">
        <f t="shared" si="7"/>
        <v>0</v>
      </c>
    </row>
    <row r="171" spans="1:14" s="162" customFormat="1" ht="0.2" customHeight="1" x14ac:dyDescent="0.15">
      <c r="A171" s="674"/>
      <c r="B171" s="457" t="s">
        <v>391</v>
      </c>
      <c r="C171" s="675"/>
      <c r="D171" s="675"/>
      <c r="E171" s="675"/>
      <c r="F171" s="675"/>
      <c r="G171" s="675"/>
      <c r="H171" s="675"/>
      <c r="I171" s="673"/>
      <c r="J171" s="673"/>
      <c r="K171" s="673"/>
      <c r="L171" s="673"/>
      <c r="M171" s="1400"/>
      <c r="N171" s="1393">
        <f t="shared" ref="N171" si="12">SUM(C171:M171)</f>
        <v>0</v>
      </c>
    </row>
    <row r="172" spans="1:14" s="162" customFormat="1" ht="12" customHeight="1" x14ac:dyDescent="0.15">
      <c r="A172" s="734" t="s">
        <v>296</v>
      </c>
      <c r="B172" s="655" t="s">
        <v>2</v>
      </c>
      <c r="C172" s="1401"/>
      <c r="D172" s="675"/>
      <c r="E172" s="675"/>
      <c r="F172" s="675"/>
      <c r="G172" s="675"/>
      <c r="H172" s="675"/>
      <c r="I172" s="673"/>
      <c r="J172" s="673"/>
      <c r="K172" s="673"/>
      <c r="L172" s="673"/>
      <c r="M172" s="1400"/>
      <c r="N172" s="1394"/>
    </row>
    <row r="173" spans="1:14" s="162" customFormat="1" ht="12" customHeight="1" thickBot="1" x14ac:dyDescent="0.2">
      <c r="A173" s="689"/>
      <c r="B173" s="686" t="s">
        <v>392</v>
      </c>
      <c r="C173" s="1836"/>
      <c r="D173" s="690"/>
      <c r="E173" s="690">
        <f>SUM('6. sz.melléklet'!E50)</f>
        <v>15240</v>
      </c>
      <c r="F173" s="690"/>
      <c r="G173" s="690"/>
      <c r="H173" s="690"/>
      <c r="I173" s="691"/>
      <c r="J173" s="691"/>
      <c r="K173" s="691"/>
      <c r="L173" s="691"/>
      <c r="M173" s="1402"/>
      <c r="N173" s="1395">
        <f t="shared" si="7"/>
        <v>15240</v>
      </c>
    </row>
    <row r="174" spans="1:14" s="162" customFormat="1" ht="0.2" customHeight="1" x14ac:dyDescent="0.15">
      <c r="A174" s="1822"/>
      <c r="B174" s="1825" t="s">
        <v>393</v>
      </c>
      <c r="C174" s="1835"/>
      <c r="D174" s="692"/>
      <c r="E174" s="692"/>
      <c r="F174" s="692"/>
      <c r="G174" s="692"/>
      <c r="H174" s="692"/>
      <c r="I174" s="688"/>
      <c r="J174" s="688"/>
      <c r="K174" s="688"/>
      <c r="L174" s="688"/>
      <c r="M174" s="1829"/>
      <c r="N174" s="1394">
        <f t="shared" si="7"/>
        <v>0</v>
      </c>
    </row>
    <row r="175" spans="1:14" s="162" customFormat="1" ht="0.2" customHeight="1" x14ac:dyDescent="0.15">
      <c r="A175" s="674"/>
      <c r="B175" s="457" t="s">
        <v>391</v>
      </c>
      <c r="C175" s="1401"/>
      <c r="D175" s="675"/>
      <c r="E175" s="675"/>
      <c r="F175" s="675"/>
      <c r="G175" s="675"/>
      <c r="H175" s="675"/>
      <c r="I175" s="673"/>
      <c r="J175" s="673"/>
      <c r="K175" s="673"/>
      <c r="L175" s="673"/>
      <c r="M175" s="1400"/>
      <c r="N175" s="1393">
        <f t="shared" ref="N175" si="13">SUM(C175:M175)</f>
        <v>0</v>
      </c>
    </row>
    <row r="176" spans="1:14" s="162" customFormat="1" ht="12" customHeight="1" x14ac:dyDescent="0.15">
      <c r="A176" s="734" t="s">
        <v>297</v>
      </c>
      <c r="B176" s="655" t="s">
        <v>172</v>
      </c>
      <c r="C176" s="675"/>
      <c r="D176" s="675"/>
      <c r="E176" s="676"/>
      <c r="F176" s="675"/>
      <c r="G176" s="675"/>
      <c r="H176" s="675"/>
      <c r="I176" s="673"/>
      <c r="J176" s="673"/>
      <c r="K176" s="673"/>
      <c r="L176" s="673"/>
      <c r="M176" s="1400"/>
      <c r="N176" s="1394"/>
    </row>
    <row r="177" spans="1:14" s="162" customFormat="1" ht="12" customHeight="1" thickBot="1" x14ac:dyDescent="0.2">
      <c r="A177" s="689"/>
      <c r="B177" s="686" t="s">
        <v>392</v>
      </c>
      <c r="C177" s="690"/>
      <c r="D177" s="690"/>
      <c r="E177" s="1837">
        <f>SUM('6. sz.melléklet'!E54)</f>
        <v>1461</v>
      </c>
      <c r="F177" s="690"/>
      <c r="G177" s="690"/>
      <c r="H177" s="690"/>
      <c r="I177" s="691"/>
      <c r="J177" s="691"/>
      <c r="K177" s="691"/>
      <c r="L177" s="691"/>
      <c r="M177" s="1402"/>
      <c r="N177" s="1395">
        <f t="shared" si="7"/>
        <v>1461</v>
      </c>
    </row>
    <row r="178" spans="1:14" s="162" customFormat="1" ht="0.2" customHeight="1" x14ac:dyDescent="0.15">
      <c r="A178" s="1822"/>
      <c r="B178" s="1825" t="s">
        <v>393</v>
      </c>
      <c r="C178" s="692"/>
      <c r="D178" s="692"/>
      <c r="E178" s="693"/>
      <c r="F178" s="692"/>
      <c r="G178" s="692"/>
      <c r="H178" s="692"/>
      <c r="I178" s="688"/>
      <c r="J178" s="688"/>
      <c r="K178" s="688"/>
      <c r="L178" s="688"/>
      <c r="M178" s="1829"/>
      <c r="N178" s="1394">
        <f t="shared" si="7"/>
        <v>0</v>
      </c>
    </row>
    <row r="179" spans="1:14" s="162" customFormat="1" ht="0.2" customHeight="1" x14ac:dyDescent="0.15">
      <c r="A179" s="674"/>
      <c r="B179" s="457" t="s">
        <v>391</v>
      </c>
      <c r="C179" s="675"/>
      <c r="D179" s="675"/>
      <c r="E179" s="676"/>
      <c r="F179" s="675"/>
      <c r="G179" s="675"/>
      <c r="H179" s="675"/>
      <c r="I179" s="673"/>
      <c r="J179" s="673"/>
      <c r="K179" s="673"/>
      <c r="L179" s="673"/>
      <c r="M179" s="1400"/>
      <c r="N179" s="1393">
        <f t="shared" ref="N179" si="14">SUM(C179:M179)</f>
        <v>0</v>
      </c>
    </row>
    <row r="180" spans="1:14" s="162" customFormat="1" ht="21" customHeight="1" x14ac:dyDescent="0.15">
      <c r="A180" s="734" t="s">
        <v>262</v>
      </c>
      <c r="B180" s="655" t="s">
        <v>312</v>
      </c>
      <c r="C180" s="675"/>
      <c r="D180" s="675"/>
      <c r="E180" s="676"/>
      <c r="F180" s="675"/>
      <c r="G180" s="675"/>
      <c r="H180" s="675"/>
      <c r="I180" s="673"/>
      <c r="J180" s="673"/>
      <c r="K180" s="673"/>
      <c r="L180" s="673"/>
      <c r="M180" s="1400"/>
      <c r="N180" s="1394"/>
    </row>
    <row r="181" spans="1:14" s="162" customFormat="1" ht="12" customHeight="1" thickBot="1" x14ac:dyDescent="0.2">
      <c r="A181" s="689"/>
      <c r="B181" s="686" t="s">
        <v>392</v>
      </c>
      <c r="C181" s="690"/>
      <c r="D181" s="690"/>
      <c r="E181" s="1837"/>
      <c r="F181" s="690"/>
      <c r="G181" s="690"/>
      <c r="H181" s="690"/>
      <c r="I181" s="691"/>
      <c r="J181" s="691"/>
      <c r="K181" s="691"/>
      <c r="L181" s="691"/>
      <c r="M181" s="1402"/>
      <c r="N181" s="1395">
        <f t="shared" si="7"/>
        <v>0</v>
      </c>
    </row>
    <row r="182" spans="1:14" s="162" customFormat="1" ht="0.2" customHeight="1" x14ac:dyDescent="0.15">
      <c r="A182" s="1822"/>
      <c r="B182" s="1825" t="s">
        <v>393</v>
      </c>
      <c r="C182" s="692"/>
      <c r="D182" s="692"/>
      <c r="E182" s="693"/>
      <c r="F182" s="692"/>
      <c r="G182" s="692"/>
      <c r="H182" s="692"/>
      <c r="I182" s="688"/>
      <c r="J182" s="688"/>
      <c r="K182" s="688"/>
      <c r="L182" s="688"/>
      <c r="M182" s="1829"/>
      <c r="N182" s="1394">
        <f t="shared" si="7"/>
        <v>0</v>
      </c>
    </row>
    <row r="183" spans="1:14" s="162" customFormat="1" ht="0.2" customHeight="1" x14ac:dyDescent="0.15">
      <c r="A183" s="674"/>
      <c r="B183" s="457" t="s">
        <v>391</v>
      </c>
      <c r="C183" s="675"/>
      <c r="D183" s="675"/>
      <c r="E183" s="676"/>
      <c r="F183" s="675"/>
      <c r="G183" s="675"/>
      <c r="H183" s="675"/>
      <c r="I183" s="673"/>
      <c r="J183" s="673"/>
      <c r="K183" s="673"/>
      <c r="L183" s="673"/>
      <c r="M183" s="1400"/>
      <c r="N183" s="1393">
        <f t="shared" ref="N183" si="15">SUM(C183:M183)</f>
        <v>0</v>
      </c>
    </row>
    <row r="184" spans="1:14" s="162" customFormat="1" ht="12" customHeight="1" x14ac:dyDescent="0.15">
      <c r="A184" s="734" t="s">
        <v>273</v>
      </c>
      <c r="B184" s="655" t="s">
        <v>274</v>
      </c>
      <c r="C184" s="675"/>
      <c r="D184" s="675"/>
      <c r="E184" s="675"/>
      <c r="F184" s="675"/>
      <c r="G184" s="675"/>
      <c r="H184" s="675"/>
      <c r="I184" s="673"/>
      <c r="J184" s="673"/>
      <c r="K184" s="673"/>
      <c r="L184" s="673"/>
      <c r="M184" s="1400"/>
      <c r="N184" s="1394"/>
    </row>
    <row r="185" spans="1:14" s="162" customFormat="1" ht="12" customHeight="1" thickBot="1" x14ac:dyDescent="0.2">
      <c r="A185" s="689"/>
      <c r="B185" s="686" t="s">
        <v>392</v>
      </c>
      <c r="C185" s="690"/>
      <c r="D185" s="690"/>
      <c r="E185" s="690"/>
      <c r="F185" s="690"/>
      <c r="G185" s="690"/>
      <c r="H185" s="690"/>
      <c r="I185" s="691"/>
      <c r="J185" s="691"/>
      <c r="K185" s="691"/>
      <c r="L185" s="691"/>
      <c r="M185" s="1402"/>
      <c r="N185" s="1395">
        <f t="shared" si="7"/>
        <v>0</v>
      </c>
    </row>
    <row r="186" spans="1:14" s="162" customFormat="1" ht="0.2" customHeight="1" x14ac:dyDescent="0.15">
      <c r="A186" s="1822"/>
      <c r="B186" s="1825" t="s">
        <v>393</v>
      </c>
      <c r="C186" s="692"/>
      <c r="D186" s="692"/>
      <c r="E186" s="692"/>
      <c r="F186" s="692"/>
      <c r="G186" s="692"/>
      <c r="H186" s="692"/>
      <c r="I186" s="688"/>
      <c r="J186" s="688"/>
      <c r="K186" s="688"/>
      <c r="L186" s="688"/>
      <c r="M186" s="1829"/>
      <c r="N186" s="1394">
        <f t="shared" si="7"/>
        <v>0</v>
      </c>
    </row>
    <row r="187" spans="1:14" s="162" customFormat="1" ht="0.2" customHeight="1" x14ac:dyDescent="0.15">
      <c r="A187" s="674"/>
      <c r="B187" s="457" t="s">
        <v>391</v>
      </c>
      <c r="C187" s="675"/>
      <c r="D187" s="675"/>
      <c r="E187" s="675"/>
      <c r="F187" s="675"/>
      <c r="G187" s="675"/>
      <c r="H187" s="675"/>
      <c r="I187" s="673"/>
      <c r="J187" s="673"/>
      <c r="K187" s="673"/>
      <c r="L187" s="673"/>
      <c r="M187" s="1400"/>
      <c r="N187" s="1393">
        <f t="shared" ref="N187" si="16">SUM(C187:M187)</f>
        <v>0</v>
      </c>
    </row>
    <row r="188" spans="1:14" s="162" customFormat="1" ht="12" customHeight="1" x14ac:dyDescent="0.15">
      <c r="A188" s="734" t="s">
        <v>275</v>
      </c>
      <c r="B188" s="655" t="s">
        <v>113</v>
      </c>
      <c r="C188" s="675"/>
      <c r="D188" s="675"/>
      <c r="E188" s="675"/>
      <c r="F188" s="675"/>
      <c r="G188" s="675"/>
      <c r="H188" s="675"/>
      <c r="I188" s="673"/>
      <c r="J188" s="673"/>
      <c r="K188" s="673"/>
      <c r="L188" s="673"/>
      <c r="M188" s="1400"/>
      <c r="N188" s="1394"/>
    </row>
    <row r="189" spans="1:14" s="162" customFormat="1" ht="12" customHeight="1" thickBot="1" x14ac:dyDescent="0.2">
      <c r="A189" s="689"/>
      <c r="B189" s="686" t="s">
        <v>392</v>
      </c>
      <c r="C189" s="690"/>
      <c r="D189" s="690"/>
      <c r="E189" s="690">
        <f>SUM('6. sz.melléklet'!E66)</f>
        <v>19338</v>
      </c>
      <c r="F189" s="690"/>
      <c r="G189" s="690"/>
      <c r="H189" s="690"/>
      <c r="I189" s="691"/>
      <c r="J189" s="691"/>
      <c r="K189" s="691"/>
      <c r="L189" s="691"/>
      <c r="M189" s="1402"/>
      <c r="N189" s="1395">
        <f t="shared" si="7"/>
        <v>19338</v>
      </c>
    </row>
    <row r="190" spans="1:14" s="162" customFormat="1" ht="0.2" customHeight="1" x14ac:dyDescent="0.15">
      <c r="A190" s="1822"/>
      <c r="B190" s="1825" t="s">
        <v>393</v>
      </c>
      <c r="C190" s="692"/>
      <c r="D190" s="692"/>
      <c r="E190" s="692"/>
      <c r="F190" s="692"/>
      <c r="G190" s="692"/>
      <c r="H190" s="692"/>
      <c r="I190" s="688"/>
      <c r="J190" s="688"/>
      <c r="K190" s="688"/>
      <c r="L190" s="688"/>
      <c r="M190" s="1829"/>
      <c r="N190" s="1394">
        <f t="shared" si="7"/>
        <v>0</v>
      </c>
    </row>
    <row r="191" spans="1:14" s="162" customFormat="1" ht="0.2" customHeight="1" x14ac:dyDescent="0.15">
      <c r="A191" s="674"/>
      <c r="B191" s="457" t="s">
        <v>391</v>
      </c>
      <c r="C191" s="675"/>
      <c r="D191" s="675"/>
      <c r="E191" s="675"/>
      <c r="F191" s="675"/>
      <c r="G191" s="675"/>
      <c r="H191" s="675"/>
      <c r="I191" s="673"/>
      <c r="J191" s="673"/>
      <c r="K191" s="673"/>
      <c r="L191" s="673"/>
      <c r="M191" s="1400"/>
      <c r="N191" s="1393">
        <f t="shared" ref="N191" si="17">SUM(C191:M191)</f>
        <v>0</v>
      </c>
    </row>
    <row r="192" spans="1:14" s="162" customFormat="1" ht="21" customHeight="1" x14ac:dyDescent="0.15">
      <c r="A192" s="734" t="s">
        <v>278</v>
      </c>
      <c r="B192" s="655" t="s">
        <v>115</v>
      </c>
      <c r="C192" s="675"/>
      <c r="D192" s="675"/>
      <c r="E192" s="675"/>
      <c r="F192" s="675"/>
      <c r="G192" s="675"/>
      <c r="H192" s="675"/>
      <c r="I192" s="673"/>
      <c r="J192" s="673"/>
      <c r="K192" s="673"/>
      <c r="L192" s="673"/>
      <c r="M192" s="1400"/>
      <c r="N192" s="1394"/>
    </row>
    <row r="193" spans="1:14" s="162" customFormat="1" ht="12" customHeight="1" thickBot="1" x14ac:dyDescent="0.2">
      <c r="A193" s="689"/>
      <c r="B193" s="686" t="s">
        <v>392</v>
      </c>
      <c r="C193" s="690">
        <f>SUM('6. sz.melléklet'!C70)</f>
        <v>6092</v>
      </c>
      <c r="D193" s="690">
        <f>SUM('6. sz.melléklet'!D70)</f>
        <v>1691</v>
      </c>
      <c r="E193" s="690">
        <f>SUM('6. sz.melléklet'!E70)</f>
        <v>1629</v>
      </c>
      <c r="F193" s="690"/>
      <c r="G193" s="690"/>
      <c r="H193" s="690">
        <f>SUM('6. sz.melléklet'!H70)</f>
        <v>530</v>
      </c>
      <c r="I193" s="691"/>
      <c r="J193" s="691"/>
      <c r="K193" s="691"/>
      <c r="L193" s="691"/>
      <c r="M193" s="1402"/>
      <c r="N193" s="1395">
        <f t="shared" si="7"/>
        <v>9942</v>
      </c>
    </row>
    <row r="194" spans="1:14" s="162" customFormat="1" ht="0.2" customHeight="1" x14ac:dyDescent="0.15">
      <c r="A194" s="1822"/>
      <c r="B194" s="1825" t="s">
        <v>393</v>
      </c>
      <c r="C194" s="692"/>
      <c r="D194" s="692"/>
      <c r="E194" s="692"/>
      <c r="F194" s="692"/>
      <c r="G194" s="692"/>
      <c r="H194" s="692"/>
      <c r="I194" s="688"/>
      <c r="J194" s="688"/>
      <c r="K194" s="688"/>
      <c r="L194" s="688"/>
      <c r="M194" s="1829"/>
      <c r="N194" s="1394">
        <f t="shared" si="7"/>
        <v>0</v>
      </c>
    </row>
    <row r="195" spans="1:14" s="162" customFormat="1" ht="0.2" customHeight="1" x14ac:dyDescent="0.15">
      <c r="A195" s="674"/>
      <c r="B195" s="457" t="s">
        <v>391</v>
      </c>
      <c r="C195" s="675"/>
      <c r="D195" s="675"/>
      <c r="E195" s="675"/>
      <c r="F195" s="675"/>
      <c r="G195" s="675"/>
      <c r="H195" s="675"/>
      <c r="I195" s="673"/>
      <c r="J195" s="673"/>
      <c r="K195" s="673"/>
      <c r="L195" s="673"/>
      <c r="M195" s="1400"/>
      <c r="N195" s="1393">
        <f t="shared" ref="N195" si="18">SUM(C195:M195)</f>
        <v>0</v>
      </c>
    </row>
    <row r="196" spans="1:14" s="162" customFormat="1" ht="12" customHeight="1" x14ac:dyDescent="0.15">
      <c r="A196" s="734" t="s">
        <v>279</v>
      </c>
      <c r="B196" s="655" t="s">
        <v>114</v>
      </c>
      <c r="C196" s="675"/>
      <c r="D196" s="675"/>
      <c r="E196" s="675"/>
      <c r="F196" s="675"/>
      <c r="G196" s="675"/>
      <c r="H196" s="675"/>
      <c r="I196" s="673"/>
      <c r="J196" s="673"/>
      <c r="K196" s="673"/>
      <c r="L196" s="673"/>
      <c r="M196" s="1400"/>
      <c r="N196" s="1394"/>
    </row>
    <row r="197" spans="1:14" s="162" customFormat="1" ht="12" customHeight="1" thickBot="1" x14ac:dyDescent="0.2">
      <c r="A197" s="689"/>
      <c r="B197" s="686" t="s">
        <v>392</v>
      </c>
      <c r="C197" s="690">
        <f>SUM('6. sz.melléklet'!C74)</f>
        <v>368</v>
      </c>
      <c r="D197" s="690">
        <f>SUM('6. sz.melléklet'!D74)</f>
        <v>99</v>
      </c>
      <c r="E197" s="690"/>
      <c r="F197" s="690"/>
      <c r="G197" s="690"/>
      <c r="H197" s="690"/>
      <c r="I197" s="691"/>
      <c r="J197" s="691"/>
      <c r="K197" s="691"/>
      <c r="L197" s="691"/>
      <c r="M197" s="1402"/>
      <c r="N197" s="1395">
        <f t="shared" si="7"/>
        <v>467</v>
      </c>
    </row>
    <row r="198" spans="1:14" s="162" customFormat="1" ht="0.2" customHeight="1" x14ac:dyDescent="0.15">
      <c r="A198" s="1822"/>
      <c r="B198" s="1825" t="s">
        <v>393</v>
      </c>
      <c r="C198" s="692"/>
      <c r="D198" s="692"/>
      <c r="E198" s="692"/>
      <c r="F198" s="692"/>
      <c r="G198" s="692"/>
      <c r="H198" s="692"/>
      <c r="I198" s="688"/>
      <c r="J198" s="688"/>
      <c r="K198" s="688"/>
      <c r="L198" s="688"/>
      <c r="M198" s="1829"/>
      <c r="N198" s="1394">
        <f t="shared" si="7"/>
        <v>0</v>
      </c>
    </row>
    <row r="199" spans="1:14" s="162" customFormat="1" ht="0.2" customHeight="1" x14ac:dyDescent="0.15">
      <c r="A199" s="674"/>
      <c r="B199" s="457" t="s">
        <v>391</v>
      </c>
      <c r="C199" s="675"/>
      <c r="D199" s="675"/>
      <c r="E199" s="675"/>
      <c r="F199" s="675"/>
      <c r="G199" s="675"/>
      <c r="H199" s="675"/>
      <c r="I199" s="673"/>
      <c r="J199" s="673"/>
      <c r="K199" s="673"/>
      <c r="L199" s="673"/>
      <c r="M199" s="1400"/>
      <c r="N199" s="1393">
        <f t="shared" ref="N199" si="19">SUM(C199:M199)</f>
        <v>0</v>
      </c>
    </row>
    <row r="200" spans="1:14" s="162" customFormat="1" ht="21" customHeight="1" x14ac:dyDescent="0.15">
      <c r="A200" s="734" t="s">
        <v>280</v>
      </c>
      <c r="B200" s="655" t="s">
        <v>281</v>
      </c>
      <c r="C200" s="675"/>
      <c r="D200" s="675"/>
      <c r="E200" s="675"/>
      <c r="F200" s="675"/>
      <c r="G200" s="675"/>
      <c r="H200" s="675"/>
      <c r="I200" s="673"/>
      <c r="J200" s="673"/>
      <c r="K200" s="673"/>
      <c r="L200" s="673"/>
      <c r="M200" s="1400"/>
      <c r="N200" s="1393"/>
    </row>
    <row r="201" spans="1:14" s="162" customFormat="1" ht="12" customHeight="1" thickBot="1" x14ac:dyDescent="0.2">
      <c r="A201" s="689"/>
      <c r="B201" s="686" t="s">
        <v>392</v>
      </c>
      <c r="C201" s="690">
        <f>SUM('6. sz.melléklet'!C78)</f>
        <v>520</v>
      </c>
      <c r="D201" s="690">
        <f>SUM('6. sz.melléklet'!D78)</f>
        <v>140</v>
      </c>
      <c r="E201" s="690">
        <f>SUM('6. sz.melléklet'!E78)</f>
        <v>534</v>
      </c>
      <c r="F201" s="690"/>
      <c r="G201" s="690"/>
      <c r="H201" s="690"/>
      <c r="I201" s="691"/>
      <c r="J201" s="691"/>
      <c r="K201" s="691"/>
      <c r="L201" s="691"/>
      <c r="M201" s="1402"/>
      <c r="N201" s="1395">
        <f t="shared" si="7"/>
        <v>1194</v>
      </c>
    </row>
    <row r="202" spans="1:14" s="162" customFormat="1" ht="0.2" customHeight="1" x14ac:dyDescent="0.15">
      <c r="A202" s="1822"/>
      <c r="B202" s="1825" t="s">
        <v>393</v>
      </c>
      <c r="C202" s="692"/>
      <c r="D202" s="692"/>
      <c r="E202" s="692"/>
      <c r="F202" s="692"/>
      <c r="G202" s="692"/>
      <c r="H202" s="692"/>
      <c r="I202" s="688"/>
      <c r="J202" s="688"/>
      <c r="K202" s="688"/>
      <c r="L202" s="688"/>
      <c r="M202" s="1829"/>
      <c r="N202" s="1394">
        <f t="shared" si="7"/>
        <v>0</v>
      </c>
    </row>
    <row r="203" spans="1:14" s="162" customFormat="1" ht="0.2" customHeight="1" x14ac:dyDescent="0.15">
      <c r="A203" s="674"/>
      <c r="B203" s="457" t="s">
        <v>391</v>
      </c>
      <c r="C203" s="675"/>
      <c r="D203" s="675"/>
      <c r="E203" s="675"/>
      <c r="F203" s="675"/>
      <c r="G203" s="675"/>
      <c r="H203" s="675"/>
      <c r="I203" s="673"/>
      <c r="J203" s="673"/>
      <c r="K203" s="673"/>
      <c r="L203" s="673"/>
      <c r="M203" s="1400"/>
      <c r="N203" s="1393">
        <f t="shared" ref="N203" si="20">SUM(C203:M203)</f>
        <v>0</v>
      </c>
    </row>
    <row r="204" spans="1:14" s="162" customFormat="1" ht="23.25" customHeight="1" x14ac:dyDescent="0.15">
      <c r="A204" s="734" t="s">
        <v>319</v>
      </c>
      <c r="B204" s="655" t="s">
        <v>320</v>
      </c>
      <c r="C204" s="675"/>
      <c r="D204" s="675"/>
      <c r="E204" s="675"/>
      <c r="F204" s="675"/>
      <c r="G204" s="675"/>
      <c r="H204" s="675"/>
      <c r="I204" s="673"/>
      <c r="J204" s="673"/>
      <c r="K204" s="673"/>
      <c r="L204" s="673"/>
      <c r="M204" s="1400"/>
      <c r="N204" s="1394"/>
    </row>
    <row r="205" spans="1:14" s="162" customFormat="1" ht="14.25" customHeight="1" thickBot="1" x14ac:dyDescent="0.2">
      <c r="A205" s="689"/>
      <c r="B205" s="686" t="s">
        <v>392</v>
      </c>
      <c r="C205" s="690"/>
      <c r="D205" s="690"/>
      <c r="E205" s="690"/>
      <c r="F205" s="690"/>
      <c r="G205" s="690"/>
      <c r="H205" s="690"/>
      <c r="I205" s="691">
        <f>SUM('6. sz.melléklet'!I82)</f>
        <v>840</v>
      </c>
      <c r="J205" s="691"/>
      <c r="K205" s="691"/>
      <c r="L205" s="691"/>
      <c r="M205" s="1402"/>
      <c r="N205" s="1395">
        <f t="shared" si="7"/>
        <v>840</v>
      </c>
    </row>
    <row r="206" spans="1:14" s="162" customFormat="1" ht="0.2" customHeight="1" x14ac:dyDescent="0.15">
      <c r="A206" s="1822"/>
      <c r="B206" s="1825" t="s">
        <v>393</v>
      </c>
      <c r="C206" s="692"/>
      <c r="D206" s="692"/>
      <c r="E206" s="692"/>
      <c r="F206" s="692"/>
      <c r="G206" s="692"/>
      <c r="H206" s="692"/>
      <c r="I206" s="688"/>
      <c r="J206" s="688"/>
      <c r="K206" s="688"/>
      <c r="L206" s="688"/>
      <c r="M206" s="1829"/>
      <c r="N206" s="1394">
        <f t="shared" si="7"/>
        <v>0</v>
      </c>
    </row>
    <row r="207" spans="1:14" s="162" customFormat="1" ht="0.2" customHeight="1" x14ac:dyDescent="0.15">
      <c r="A207" s="674"/>
      <c r="B207" s="457" t="s">
        <v>391</v>
      </c>
      <c r="C207" s="675"/>
      <c r="D207" s="675"/>
      <c r="E207" s="675"/>
      <c r="F207" s="675"/>
      <c r="G207" s="675"/>
      <c r="H207" s="675"/>
      <c r="I207" s="673"/>
      <c r="J207" s="673"/>
      <c r="K207" s="673"/>
      <c r="L207" s="673"/>
      <c r="M207" s="1400"/>
      <c r="N207" s="1393">
        <f t="shared" ref="N207" si="21">SUM(C207:M207)</f>
        <v>0</v>
      </c>
    </row>
    <row r="208" spans="1:14" s="162" customFormat="1" ht="20.25" customHeight="1" x14ac:dyDescent="0.15">
      <c r="A208" s="734" t="s">
        <v>598</v>
      </c>
      <c r="B208" s="655" t="s">
        <v>322</v>
      </c>
      <c r="C208" s="675"/>
      <c r="D208" s="675"/>
      <c r="E208" s="675"/>
      <c r="F208" s="675"/>
      <c r="G208" s="675"/>
      <c r="H208" s="675"/>
      <c r="I208" s="673"/>
      <c r="J208" s="673"/>
      <c r="K208" s="673"/>
      <c r="L208" s="673"/>
      <c r="M208" s="1400"/>
      <c r="N208" s="1393"/>
    </row>
    <row r="209" spans="1:14" s="162" customFormat="1" ht="12" customHeight="1" thickBot="1" x14ac:dyDescent="0.2">
      <c r="A209" s="689"/>
      <c r="B209" s="686" t="s">
        <v>392</v>
      </c>
      <c r="C209" s="690"/>
      <c r="D209" s="690"/>
      <c r="E209" s="690"/>
      <c r="F209" s="690"/>
      <c r="G209" s="690"/>
      <c r="H209" s="690"/>
      <c r="I209" s="691">
        <f>SUM('6. sz.melléklet'!I86)</f>
        <v>1500</v>
      </c>
      <c r="J209" s="691"/>
      <c r="K209" s="691"/>
      <c r="L209" s="691"/>
      <c r="M209" s="1402"/>
      <c r="N209" s="1395">
        <f t="shared" si="7"/>
        <v>1500</v>
      </c>
    </row>
    <row r="210" spans="1:14" s="162" customFormat="1" ht="0.2" customHeight="1" x14ac:dyDescent="0.15">
      <c r="A210" s="1822"/>
      <c r="B210" s="1825" t="s">
        <v>393</v>
      </c>
      <c r="C210" s="692"/>
      <c r="D210" s="692"/>
      <c r="E210" s="692"/>
      <c r="F210" s="692"/>
      <c r="G210" s="692"/>
      <c r="H210" s="692"/>
      <c r="I210" s="688"/>
      <c r="J210" s="688"/>
      <c r="K210" s="688"/>
      <c r="L210" s="688"/>
      <c r="M210" s="1829"/>
      <c r="N210" s="1394">
        <f t="shared" si="7"/>
        <v>0</v>
      </c>
    </row>
    <row r="211" spans="1:14" s="162" customFormat="1" ht="0.2" customHeight="1" x14ac:dyDescent="0.15">
      <c r="A211" s="674"/>
      <c r="B211" s="457" t="s">
        <v>391</v>
      </c>
      <c r="C211" s="675"/>
      <c r="D211" s="675"/>
      <c r="E211" s="675"/>
      <c r="F211" s="675"/>
      <c r="G211" s="675"/>
      <c r="H211" s="675"/>
      <c r="I211" s="673"/>
      <c r="J211" s="673"/>
      <c r="K211" s="673"/>
      <c r="L211" s="673"/>
      <c r="M211" s="1400"/>
      <c r="N211" s="1393">
        <f t="shared" ref="N211" si="22">SUM(C211:M211)</f>
        <v>0</v>
      </c>
    </row>
    <row r="212" spans="1:14" s="162" customFormat="1" ht="12" customHeight="1" x14ac:dyDescent="0.15">
      <c r="A212" s="734" t="s">
        <v>282</v>
      </c>
      <c r="B212" s="655" t="s">
        <v>283</v>
      </c>
      <c r="C212" s="675"/>
      <c r="D212" s="675"/>
      <c r="E212" s="675"/>
      <c r="F212" s="675"/>
      <c r="G212" s="675"/>
      <c r="H212" s="675"/>
      <c r="I212" s="673"/>
      <c r="J212" s="673"/>
      <c r="K212" s="673"/>
      <c r="L212" s="673"/>
      <c r="M212" s="1400"/>
      <c r="N212" s="1394"/>
    </row>
    <row r="213" spans="1:14" s="162" customFormat="1" ht="12" customHeight="1" thickBot="1" x14ac:dyDescent="0.2">
      <c r="A213" s="689"/>
      <c r="B213" s="686" t="s">
        <v>392</v>
      </c>
      <c r="C213" s="690"/>
      <c r="D213" s="690"/>
      <c r="E213" s="690">
        <f>SUM('6. sz.melléklet'!E90)</f>
        <v>3990</v>
      </c>
      <c r="F213" s="690"/>
      <c r="G213" s="690"/>
      <c r="H213" s="690"/>
      <c r="I213" s="691"/>
      <c r="J213" s="691"/>
      <c r="K213" s="691"/>
      <c r="L213" s="691"/>
      <c r="M213" s="1402"/>
      <c r="N213" s="1395">
        <f>SUM(C213:M213)</f>
        <v>3990</v>
      </c>
    </row>
    <row r="214" spans="1:14" s="162" customFormat="1" ht="0.2" customHeight="1" x14ac:dyDescent="0.15">
      <c r="A214" s="1822"/>
      <c r="B214" s="1825" t="s">
        <v>393</v>
      </c>
      <c r="C214" s="692"/>
      <c r="D214" s="692"/>
      <c r="E214" s="692"/>
      <c r="F214" s="692"/>
      <c r="G214" s="692"/>
      <c r="H214" s="692"/>
      <c r="I214" s="688"/>
      <c r="J214" s="688"/>
      <c r="K214" s="688"/>
      <c r="L214" s="688"/>
      <c r="M214" s="1829"/>
      <c r="N214" s="1394">
        <f>SUM(C214:M214)</f>
        <v>0</v>
      </c>
    </row>
    <row r="215" spans="1:14" s="162" customFormat="1" ht="0.2" customHeight="1" x14ac:dyDescent="0.15">
      <c r="A215" s="674"/>
      <c r="B215" s="457" t="s">
        <v>391</v>
      </c>
      <c r="C215" s="675"/>
      <c r="D215" s="675"/>
      <c r="E215" s="675"/>
      <c r="F215" s="675"/>
      <c r="G215" s="675"/>
      <c r="H215" s="675"/>
      <c r="I215" s="673"/>
      <c r="J215" s="673"/>
      <c r="K215" s="673"/>
      <c r="L215" s="673"/>
      <c r="M215" s="1400"/>
      <c r="N215" s="1393">
        <f>SUM(C215:M215)</f>
        <v>0</v>
      </c>
    </row>
    <row r="216" spans="1:14" s="162" customFormat="1" ht="22.5" customHeight="1" x14ac:dyDescent="0.15">
      <c r="A216" s="734" t="s">
        <v>300</v>
      </c>
      <c r="B216" s="655" t="s">
        <v>139</v>
      </c>
      <c r="C216" s="675"/>
      <c r="D216" s="675"/>
      <c r="E216" s="675"/>
      <c r="F216" s="675"/>
      <c r="G216" s="675"/>
      <c r="H216" s="675"/>
      <c r="I216" s="673"/>
      <c r="J216" s="673"/>
      <c r="K216" s="673"/>
      <c r="L216" s="673"/>
      <c r="M216" s="1400"/>
      <c r="N216" s="1394"/>
    </row>
    <row r="217" spans="1:14" s="162" customFormat="1" ht="12" customHeight="1" thickBot="1" x14ac:dyDescent="0.2">
      <c r="A217" s="689"/>
      <c r="B217" s="686" t="s">
        <v>392</v>
      </c>
      <c r="C217" s="690"/>
      <c r="D217" s="690"/>
      <c r="E217" s="690"/>
      <c r="F217" s="690"/>
      <c r="G217" s="690"/>
      <c r="H217" s="690"/>
      <c r="I217" s="691">
        <f>SUM('6. sz.melléklet'!I94)</f>
        <v>23145</v>
      </c>
      <c r="J217" s="691"/>
      <c r="K217" s="691"/>
      <c r="L217" s="691"/>
      <c r="M217" s="1402"/>
      <c r="N217" s="1395">
        <f>SUM(C217:M217)</f>
        <v>23145</v>
      </c>
    </row>
    <row r="218" spans="1:14" s="162" customFormat="1" ht="0.2" customHeight="1" x14ac:dyDescent="0.15">
      <c r="A218" s="1822"/>
      <c r="B218" s="1825" t="s">
        <v>393</v>
      </c>
      <c r="C218" s="692"/>
      <c r="D218" s="692"/>
      <c r="E218" s="692"/>
      <c r="F218" s="692"/>
      <c r="G218" s="692"/>
      <c r="H218" s="692"/>
      <c r="I218" s="688"/>
      <c r="J218" s="688"/>
      <c r="K218" s="688"/>
      <c r="L218" s="688"/>
      <c r="M218" s="1829"/>
      <c r="N218" s="1394">
        <f>SUM(C218:M218)</f>
        <v>0</v>
      </c>
    </row>
    <row r="219" spans="1:14" s="162" customFormat="1" ht="0.2" customHeight="1" x14ac:dyDescent="0.15">
      <c r="A219" s="674"/>
      <c r="B219" s="457" t="s">
        <v>391</v>
      </c>
      <c r="C219" s="675"/>
      <c r="D219" s="675"/>
      <c r="E219" s="675"/>
      <c r="F219" s="675"/>
      <c r="G219" s="675"/>
      <c r="H219" s="675"/>
      <c r="I219" s="673"/>
      <c r="J219" s="673"/>
      <c r="K219" s="673"/>
      <c r="L219" s="673"/>
      <c r="M219" s="1400"/>
      <c r="N219" s="1393">
        <f>SUM(C219:M219)</f>
        <v>0</v>
      </c>
    </row>
    <row r="220" spans="1:14" s="162" customFormat="1" ht="22.5" customHeight="1" x14ac:dyDescent="0.15">
      <c r="A220" s="734" t="s">
        <v>301</v>
      </c>
      <c r="B220" s="655" t="s">
        <v>302</v>
      </c>
      <c r="C220" s="675"/>
      <c r="D220" s="675"/>
      <c r="E220" s="675"/>
      <c r="F220" s="675"/>
      <c r="G220" s="675"/>
      <c r="H220" s="675"/>
      <c r="I220" s="673"/>
      <c r="J220" s="673"/>
      <c r="K220" s="673"/>
      <c r="L220" s="673"/>
      <c r="M220" s="1400"/>
      <c r="N220" s="1394"/>
    </row>
    <row r="221" spans="1:14" s="162" customFormat="1" ht="12" customHeight="1" thickBot="1" x14ac:dyDescent="0.2">
      <c r="A221" s="689"/>
      <c r="B221" s="686" t="s">
        <v>392</v>
      </c>
      <c r="C221" s="690"/>
      <c r="D221" s="1840"/>
      <c r="E221" s="690"/>
      <c r="F221" s="690"/>
      <c r="G221" s="690"/>
      <c r="H221" s="690"/>
      <c r="I221" s="691"/>
      <c r="J221" s="691">
        <f>SUM('6. sz.melléklet'!J98)</f>
        <v>169055</v>
      </c>
      <c r="K221" s="691"/>
      <c r="L221" s="691"/>
      <c r="M221" s="1402"/>
      <c r="N221" s="1395">
        <f>SUM(C221:M221)</f>
        <v>169055</v>
      </c>
    </row>
    <row r="222" spans="1:14" s="162" customFormat="1" ht="0.2" customHeight="1" x14ac:dyDescent="0.15">
      <c r="A222" s="1822"/>
      <c r="B222" s="1825" t="s">
        <v>393</v>
      </c>
      <c r="C222" s="692"/>
      <c r="D222" s="692"/>
      <c r="E222" s="692"/>
      <c r="F222" s="692"/>
      <c r="G222" s="692"/>
      <c r="H222" s="692"/>
      <c r="I222" s="688"/>
      <c r="J222" s="688"/>
      <c r="K222" s="688"/>
      <c r="L222" s="688"/>
      <c r="M222" s="1829"/>
      <c r="N222" s="1394">
        <f>SUM(C222:M222)</f>
        <v>0</v>
      </c>
    </row>
    <row r="223" spans="1:14" s="162" customFormat="1" ht="0.2" customHeight="1" x14ac:dyDescent="0.15">
      <c r="A223" s="674"/>
      <c r="B223" s="457" t="s">
        <v>391</v>
      </c>
      <c r="C223" s="675"/>
      <c r="D223" s="675"/>
      <c r="E223" s="675"/>
      <c r="F223" s="675"/>
      <c r="G223" s="675"/>
      <c r="H223" s="675"/>
      <c r="I223" s="673"/>
      <c r="J223" s="673"/>
      <c r="K223" s="673"/>
      <c r="L223" s="673"/>
      <c r="M223" s="1400"/>
      <c r="N223" s="1393">
        <f>SUM(C223:M223)</f>
        <v>0</v>
      </c>
    </row>
    <row r="224" spans="1:14" s="162" customFormat="1" ht="12" customHeight="1" x14ac:dyDescent="0.15">
      <c r="A224" s="734" t="s">
        <v>426</v>
      </c>
      <c r="B224" s="655" t="s">
        <v>460</v>
      </c>
      <c r="C224" s="675"/>
      <c r="D224" s="675"/>
      <c r="E224" s="675"/>
      <c r="F224" s="675"/>
      <c r="G224" s="675"/>
      <c r="H224" s="675"/>
      <c r="I224" s="673"/>
      <c r="J224" s="673"/>
      <c r="K224" s="673"/>
      <c r="L224" s="673"/>
      <c r="M224" s="1400"/>
      <c r="N224" s="1394"/>
    </row>
    <row r="225" spans="1:14" s="162" customFormat="1" ht="12" customHeight="1" thickBot="1" x14ac:dyDescent="0.2">
      <c r="A225" s="689"/>
      <c r="B225" s="686" t="s">
        <v>392</v>
      </c>
      <c r="C225" s="690"/>
      <c r="D225" s="690"/>
      <c r="E225" s="690">
        <f>SUM('6. sz.melléklet'!E114)</f>
        <v>29547</v>
      </c>
      <c r="F225" s="690"/>
      <c r="G225" s="690"/>
      <c r="H225" s="690"/>
      <c r="I225" s="691"/>
      <c r="J225" s="691"/>
      <c r="K225" s="691"/>
      <c r="L225" s="691"/>
      <c r="M225" s="1402"/>
      <c r="N225" s="1838">
        <f>SUM(C225:M225)</f>
        <v>29547</v>
      </c>
    </row>
    <row r="226" spans="1:14" s="162" customFormat="1" ht="0.2" customHeight="1" x14ac:dyDescent="0.15">
      <c r="A226" s="1822"/>
      <c r="B226" s="1825" t="s">
        <v>393</v>
      </c>
      <c r="C226" s="692"/>
      <c r="D226" s="692"/>
      <c r="E226" s="692"/>
      <c r="F226" s="692"/>
      <c r="G226" s="692"/>
      <c r="H226" s="692"/>
      <c r="I226" s="688"/>
      <c r="J226" s="688"/>
      <c r="K226" s="688"/>
      <c r="L226" s="688"/>
      <c r="M226" s="1829"/>
      <c r="N226" s="1394">
        <f>SUM(C226:M226)</f>
        <v>0</v>
      </c>
    </row>
    <row r="227" spans="1:14" s="162" customFormat="1" ht="1.5" hidden="1" customHeight="1" x14ac:dyDescent="0.15">
      <c r="A227" s="674"/>
      <c r="B227" s="457" t="s">
        <v>391</v>
      </c>
      <c r="C227" s="675"/>
      <c r="D227" s="675"/>
      <c r="E227" s="675"/>
      <c r="F227" s="675"/>
      <c r="G227" s="675"/>
      <c r="H227" s="675"/>
      <c r="I227" s="673"/>
      <c r="J227" s="673"/>
      <c r="K227" s="673"/>
      <c r="L227" s="673"/>
      <c r="M227" s="1400"/>
      <c r="N227" s="1393">
        <f>SUM(C227:M227)</f>
        <v>0</v>
      </c>
    </row>
    <row r="228" spans="1:14" s="162" customFormat="1" ht="23.25" customHeight="1" x14ac:dyDescent="0.15">
      <c r="A228" s="654" t="s">
        <v>593</v>
      </c>
      <c r="B228" s="655" t="s">
        <v>594</v>
      </c>
      <c r="C228" s="675"/>
      <c r="D228" s="675"/>
      <c r="E228" s="675"/>
      <c r="F228" s="675"/>
      <c r="G228" s="675"/>
      <c r="H228" s="675"/>
      <c r="I228" s="673"/>
      <c r="J228" s="673"/>
      <c r="K228" s="673"/>
      <c r="L228" s="673"/>
      <c r="M228" s="1400"/>
      <c r="N228" s="1394"/>
    </row>
    <row r="229" spans="1:14" s="162" customFormat="1" ht="12.75" customHeight="1" thickBot="1" x14ac:dyDescent="0.2">
      <c r="A229" s="1659"/>
      <c r="B229" s="630" t="s">
        <v>392</v>
      </c>
      <c r="C229" s="690"/>
      <c r="D229" s="690"/>
      <c r="E229" s="690">
        <f>SUM('6. sz.melléklet'!E118)</f>
        <v>489</v>
      </c>
      <c r="F229" s="690"/>
      <c r="G229" s="690"/>
      <c r="H229" s="690"/>
      <c r="I229" s="691"/>
      <c r="J229" s="691"/>
      <c r="K229" s="691"/>
      <c r="L229" s="691"/>
      <c r="M229" s="1402"/>
      <c r="N229" s="1838"/>
    </row>
    <row r="230" spans="1:14" s="162" customFormat="1" ht="12" customHeight="1" x14ac:dyDescent="0.15">
      <c r="A230" s="687" t="s">
        <v>284</v>
      </c>
      <c r="B230" s="1839" t="s">
        <v>117</v>
      </c>
      <c r="C230" s="692"/>
      <c r="D230" s="692"/>
      <c r="E230" s="692"/>
      <c r="F230" s="692"/>
      <c r="G230" s="692"/>
      <c r="H230" s="692"/>
      <c r="I230" s="688"/>
      <c r="J230" s="688"/>
      <c r="K230" s="688"/>
      <c r="L230" s="688"/>
      <c r="M230" s="1829"/>
      <c r="N230" s="1394"/>
    </row>
    <row r="231" spans="1:14" s="162" customFormat="1" ht="12" customHeight="1" thickBot="1" x14ac:dyDescent="0.2">
      <c r="A231" s="689"/>
      <c r="B231" s="686" t="s">
        <v>392</v>
      </c>
      <c r="C231" s="690"/>
      <c r="D231" s="690"/>
      <c r="E231" s="690"/>
      <c r="F231" s="690"/>
      <c r="G231" s="690"/>
      <c r="H231" s="690"/>
      <c r="I231" s="691"/>
      <c r="J231" s="691"/>
      <c r="K231" s="691"/>
      <c r="L231" s="691"/>
      <c r="M231" s="1402"/>
      <c r="N231" s="1838">
        <f>SUM(C231:M231)</f>
        <v>0</v>
      </c>
    </row>
    <row r="232" spans="1:14" s="162" customFormat="1" ht="0.2" customHeight="1" x14ac:dyDescent="0.15">
      <c r="A232" s="1822"/>
      <c r="B232" s="1825" t="s">
        <v>393</v>
      </c>
      <c r="C232" s="692"/>
      <c r="D232" s="692"/>
      <c r="E232" s="692"/>
      <c r="F232" s="692"/>
      <c r="G232" s="692"/>
      <c r="H232" s="692"/>
      <c r="I232" s="688"/>
      <c r="J232" s="688"/>
      <c r="K232" s="688"/>
      <c r="L232" s="688"/>
      <c r="M232" s="1829"/>
      <c r="N232" s="1394">
        <f>SUM(C232:M232)</f>
        <v>0</v>
      </c>
    </row>
    <row r="233" spans="1:14" s="162" customFormat="1" ht="0.2" customHeight="1" x14ac:dyDescent="0.15">
      <c r="A233" s="674"/>
      <c r="B233" s="457" t="s">
        <v>391</v>
      </c>
      <c r="C233" s="675"/>
      <c r="D233" s="675"/>
      <c r="E233" s="675"/>
      <c r="F233" s="675"/>
      <c r="G233" s="675"/>
      <c r="H233" s="675"/>
      <c r="I233" s="673"/>
      <c r="J233" s="673"/>
      <c r="K233" s="673"/>
      <c r="L233" s="673"/>
      <c r="M233" s="1400"/>
      <c r="N233" s="1393">
        <f>SUM(C233:M233)</f>
        <v>0</v>
      </c>
    </row>
    <row r="234" spans="1:14" s="162" customFormat="1" ht="12" customHeight="1" x14ac:dyDescent="0.15">
      <c r="A234" s="734" t="s">
        <v>285</v>
      </c>
      <c r="B234" s="655" t="s">
        <v>286</v>
      </c>
      <c r="C234" s="675"/>
      <c r="D234" s="675"/>
      <c r="E234" s="675"/>
      <c r="F234" s="675"/>
      <c r="G234" s="675"/>
      <c r="H234" s="675"/>
      <c r="I234" s="673"/>
      <c r="J234" s="673"/>
      <c r="K234" s="673"/>
      <c r="L234" s="673"/>
      <c r="M234" s="1400"/>
      <c r="N234" s="1394"/>
    </row>
    <row r="235" spans="1:14" s="162" customFormat="1" ht="12" customHeight="1" thickBot="1" x14ac:dyDescent="0.2">
      <c r="A235" s="689"/>
      <c r="B235" s="686" t="s">
        <v>392</v>
      </c>
      <c r="C235" s="690"/>
      <c r="D235" s="690"/>
      <c r="E235" s="690"/>
      <c r="F235" s="690">
        <f>SUM('6. sz.melléklet'!F124)</f>
        <v>24359</v>
      </c>
      <c r="G235" s="690"/>
      <c r="H235" s="690"/>
      <c r="I235" s="691"/>
      <c r="J235" s="691"/>
      <c r="K235" s="691"/>
      <c r="L235" s="691"/>
      <c r="M235" s="1402"/>
      <c r="N235" s="1395">
        <f>SUM(C235:M235)</f>
        <v>24359</v>
      </c>
    </row>
    <row r="236" spans="1:14" s="162" customFormat="1" ht="0.2" customHeight="1" x14ac:dyDescent="0.15">
      <c r="A236" s="1822"/>
      <c r="B236" s="1825" t="s">
        <v>393</v>
      </c>
      <c r="C236" s="692"/>
      <c r="D236" s="692"/>
      <c r="E236" s="692"/>
      <c r="F236" s="692"/>
      <c r="G236" s="692"/>
      <c r="H236" s="692"/>
      <c r="I236" s="688"/>
      <c r="J236" s="688"/>
      <c r="K236" s="688"/>
      <c r="L236" s="688"/>
      <c r="M236" s="1829"/>
      <c r="N236" s="1394">
        <f>SUM(C236:M236)</f>
        <v>0</v>
      </c>
    </row>
    <row r="237" spans="1:14" s="162" customFormat="1" ht="0.2" customHeight="1" x14ac:dyDescent="0.15">
      <c r="A237" s="674"/>
      <c r="B237" s="457" t="s">
        <v>391</v>
      </c>
      <c r="C237" s="675"/>
      <c r="D237" s="675"/>
      <c r="E237" s="675"/>
      <c r="F237" s="675"/>
      <c r="G237" s="675"/>
      <c r="H237" s="675"/>
      <c r="I237" s="673"/>
      <c r="J237" s="673"/>
      <c r="K237" s="673"/>
      <c r="L237" s="673"/>
      <c r="M237" s="1400"/>
      <c r="N237" s="1393">
        <f>SUM(C237:M237)</f>
        <v>0</v>
      </c>
    </row>
    <row r="238" spans="1:14" s="162" customFormat="1" ht="21.75" customHeight="1" x14ac:dyDescent="0.15">
      <c r="A238" s="734" t="s">
        <v>287</v>
      </c>
      <c r="B238" s="655" t="s">
        <v>288</v>
      </c>
      <c r="C238" s="675"/>
      <c r="D238" s="675"/>
      <c r="E238" s="675"/>
      <c r="F238" s="675"/>
      <c r="G238" s="675"/>
      <c r="H238" s="675"/>
      <c r="I238" s="673"/>
      <c r="J238" s="673"/>
      <c r="K238" s="673"/>
      <c r="L238" s="673"/>
      <c r="M238" s="1400"/>
      <c r="N238" s="1394"/>
    </row>
    <row r="239" spans="1:14" s="162" customFormat="1" ht="12" customHeight="1" thickBot="1" x14ac:dyDescent="0.2">
      <c r="A239" s="689"/>
      <c r="B239" s="686" t="s">
        <v>392</v>
      </c>
      <c r="C239" s="690"/>
      <c r="D239" s="690"/>
      <c r="E239" s="690"/>
      <c r="F239" s="690"/>
      <c r="G239" s="690"/>
      <c r="H239" s="690"/>
      <c r="I239" s="691"/>
      <c r="J239" s="691"/>
      <c r="K239" s="691"/>
      <c r="L239" s="691"/>
      <c r="M239" s="1402"/>
      <c r="N239" s="1395">
        <f>SUM(C239:M239)</f>
        <v>0</v>
      </c>
    </row>
    <row r="240" spans="1:14" s="162" customFormat="1" ht="0.2" customHeight="1" x14ac:dyDescent="0.15">
      <c r="A240" s="1822"/>
      <c r="B240" s="1825" t="s">
        <v>393</v>
      </c>
      <c r="C240" s="692"/>
      <c r="D240" s="692"/>
      <c r="E240" s="692"/>
      <c r="F240" s="692"/>
      <c r="G240" s="692"/>
      <c r="H240" s="692"/>
      <c r="I240" s="688"/>
      <c r="J240" s="688"/>
      <c r="K240" s="688"/>
      <c r="L240" s="688"/>
      <c r="M240" s="1829"/>
      <c r="N240" s="1394">
        <f>SUM(C240:M240)</f>
        <v>0</v>
      </c>
    </row>
    <row r="241" spans="1:14" s="162" customFormat="1" ht="0.2" customHeight="1" x14ac:dyDescent="0.15">
      <c r="A241" s="674"/>
      <c r="B241" s="457" t="s">
        <v>391</v>
      </c>
      <c r="C241" s="675"/>
      <c r="D241" s="675"/>
      <c r="E241" s="675"/>
      <c r="F241" s="675"/>
      <c r="G241" s="675"/>
      <c r="H241" s="675"/>
      <c r="I241" s="673"/>
      <c r="J241" s="673"/>
      <c r="K241" s="673"/>
      <c r="L241" s="673"/>
      <c r="M241" s="1400"/>
      <c r="N241" s="1393">
        <f>SUM(C241:M241)</f>
        <v>0</v>
      </c>
    </row>
    <row r="242" spans="1:14" s="162" customFormat="1" ht="12" customHeight="1" x14ac:dyDescent="0.15">
      <c r="A242" s="734" t="s">
        <v>289</v>
      </c>
      <c r="B242" s="655" t="s">
        <v>290</v>
      </c>
      <c r="C242" s="675"/>
      <c r="D242" s="675"/>
      <c r="E242" s="675"/>
      <c r="F242" s="675"/>
      <c r="G242" s="675"/>
      <c r="H242" s="675"/>
      <c r="I242" s="673"/>
      <c r="J242" s="673"/>
      <c r="K242" s="673"/>
      <c r="L242" s="673"/>
      <c r="M242" s="1400"/>
      <c r="N242" s="1394"/>
    </row>
    <row r="243" spans="1:14" s="162" customFormat="1" ht="12" customHeight="1" thickBot="1" x14ac:dyDescent="0.2">
      <c r="A243" s="689"/>
      <c r="B243" s="686" t="s">
        <v>392</v>
      </c>
      <c r="C243" s="690"/>
      <c r="D243" s="690"/>
      <c r="E243" s="690"/>
      <c r="F243" s="690">
        <f>SUM('6. sz.melléklet'!F132)</f>
        <v>8019</v>
      </c>
      <c r="G243" s="690"/>
      <c r="H243" s="690"/>
      <c r="I243" s="691"/>
      <c r="J243" s="691"/>
      <c r="K243" s="691"/>
      <c r="L243" s="691"/>
      <c r="M243" s="1402"/>
      <c r="N243" s="1395">
        <f>SUM(C243:M243)</f>
        <v>8019</v>
      </c>
    </row>
    <row r="244" spans="1:14" s="162" customFormat="1" ht="0.2" customHeight="1" x14ac:dyDescent="0.15">
      <c r="A244" s="1822"/>
      <c r="B244" s="1825" t="s">
        <v>393</v>
      </c>
      <c r="C244" s="692"/>
      <c r="D244" s="692"/>
      <c r="E244" s="692"/>
      <c r="F244" s="692"/>
      <c r="G244" s="692"/>
      <c r="H244" s="692"/>
      <c r="I244" s="688"/>
      <c r="J244" s="688"/>
      <c r="K244" s="688"/>
      <c r="L244" s="688"/>
      <c r="M244" s="1829"/>
      <c r="N244" s="1394">
        <f>SUM(C244:M244)</f>
        <v>0</v>
      </c>
    </row>
    <row r="245" spans="1:14" s="162" customFormat="1" ht="0.2" customHeight="1" x14ac:dyDescent="0.15">
      <c r="A245" s="674"/>
      <c r="B245" s="457" t="s">
        <v>391</v>
      </c>
      <c r="C245" s="675"/>
      <c r="D245" s="675"/>
      <c r="E245" s="675"/>
      <c r="F245" s="675"/>
      <c r="G245" s="675"/>
      <c r="H245" s="675"/>
      <c r="I245" s="673"/>
      <c r="J245" s="673"/>
      <c r="K245" s="673"/>
      <c r="L245" s="673"/>
      <c r="M245" s="1400"/>
      <c r="N245" s="1393">
        <f>SUM(C245:M245)</f>
        <v>0</v>
      </c>
    </row>
    <row r="246" spans="1:14" s="162" customFormat="1" ht="12" customHeight="1" x14ac:dyDescent="0.15">
      <c r="A246" s="734" t="s">
        <v>291</v>
      </c>
      <c r="B246" s="655" t="s">
        <v>76</v>
      </c>
      <c r="C246" s="675"/>
      <c r="D246" s="675"/>
      <c r="E246" s="675"/>
      <c r="F246" s="675"/>
      <c r="G246" s="675"/>
      <c r="H246" s="675"/>
      <c r="I246" s="673"/>
      <c r="J246" s="673"/>
      <c r="K246" s="673"/>
      <c r="L246" s="673"/>
      <c r="M246" s="1400"/>
      <c r="N246" s="1394"/>
    </row>
    <row r="247" spans="1:14" s="162" customFormat="1" ht="12" customHeight="1" thickBot="1" x14ac:dyDescent="0.2">
      <c r="A247" s="689"/>
      <c r="B247" s="686" t="s">
        <v>392</v>
      </c>
      <c r="C247" s="690"/>
      <c r="D247" s="690"/>
      <c r="E247" s="690"/>
      <c r="F247" s="690">
        <f>SUM('6. sz.melléklet'!F136)</f>
        <v>3762</v>
      </c>
      <c r="G247" s="690"/>
      <c r="H247" s="690"/>
      <c r="I247" s="691"/>
      <c r="J247" s="691"/>
      <c r="K247" s="691"/>
      <c r="L247" s="691"/>
      <c r="M247" s="1402"/>
      <c r="N247" s="1395">
        <f>SUM(C247:M247)</f>
        <v>3762</v>
      </c>
    </row>
    <row r="248" spans="1:14" s="162" customFormat="1" ht="0.2" customHeight="1" x14ac:dyDescent="0.15">
      <c r="A248" s="1822"/>
      <c r="B248" s="1825" t="s">
        <v>393</v>
      </c>
      <c r="C248" s="692"/>
      <c r="D248" s="692"/>
      <c r="E248" s="692"/>
      <c r="F248" s="692"/>
      <c r="G248" s="692"/>
      <c r="H248" s="692"/>
      <c r="I248" s="688"/>
      <c r="J248" s="688"/>
      <c r="K248" s="688"/>
      <c r="L248" s="688"/>
      <c r="M248" s="1829"/>
      <c r="N248" s="1394">
        <f>SUM(C248:M248)</f>
        <v>0</v>
      </c>
    </row>
    <row r="249" spans="1:14" s="162" customFormat="1" ht="0.2" customHeight="1" x14ac:dyDescent="0.15">
      <c r="A249" s="674"/>
      <c r="B249" s="457" t="s">
        <v>391</v>
      </c>
      <c r="C249" s="675"/>
      <c r="D249" s="675"/>
      <c r="E249" s="675"/>
      <c r="F249" s="675"/>
      <c r="G249" s="675"/>
      <c r="H249" s="675"/>
      <c r="I249" s="673"/>
      <c r="J249" s="673"/>
      <c r="K249" s="673"/>
      <c r="L249" s="673"/>
      <c r="M249" s="1400"/>
      <c r="N249" s="1393">
        <f>SUM(C249:M249)</f>
        <v>0</v>
      </c>
    </row>
    <row r="250" spans="1:14" s="162" customFormat="1" ht="21.75" customHeight="1" x14ac:dyDescent="0.15">
      <c r="A250" s="734" t="s">
        <v>292</v>
      </c>
      <c r="B250" s="655" t="s">
        <v>293</v>
      </c>
      <c r="C250" s="675"/>
      <c r="D250" s="675"/>
      <c r="E250" s="675"/>
      <c r="F250" s="675"/>
      <c r="G250" s="675"/>
      <c r="H250" s="675"/>
      <c r="I250" s="673"/>
      <c r="J250" s="673"/>
      <c r="K250" s="673"/>
      <c r="L250" s="673"/>
      <c r="M250" s="1400"/>
      <c r="N250" s="1394"/>
    </row>
    <row r="251" spans="1:14" s="162" customFormat="1" ht="12" customHeight="1" thickBot="1" x14ac:dyDescent="0.2">
      <c r="A251" s="689"/>
      <c r="B251" s="686" t="s">
        <v>392</v>
      </c>
      <c r="C251" s="690"/>
      <c r="D251" s="690"/>
      <c r="E251" s="690"/>
      <c r="F251" s="690">
        <f>SUM('6. sz.melléklet'!F144)</f>
        <v>14361</v>
      </c>
      <c r="G251" s="690"/>
      <c r="H251" s="690"/>
      <c r="I251" s="691"/>
      <c r="J251" s="691"/>
      <c r="K251" s="691"/>
      <c r="L251" s="691"/>
      <c r="M251" s="1402"/>
      <c r="N251" s="1395">
        <f>SUM(C251:M251)</f>
        <v>14361</v>
      </c>
    </row>
    <row r="252" spans="1:14" s="162" customFormat="1" ht="0.2" customHeight="1" x14ac:dyDescent="0.15">
      <c r="A252" s="1822"/>
      <c r="B252" s="1825" t="s">
        <v>393</v>
      </c>
      <c r="C252" s="692"/>
      <c r="D252" s="692"/>
      <c r="E252" s="692"/>
      <c r="F252" s="692"/>
      <c r="G252" s="692"/>
      <c r="H252" s="692"/>
      <c r="I252" s="688"/>
      <c r="J252" s="688"/>
      <c r="K252" s="688"/>
      <c r="L252" s="688"/>
      <c r="M252" s="1829"/>
      <c r="N252" s="1394">
        <f>SUM(C252:M252)</f>
        <v>0</v>
      </c>
    </row>
    <row r="253" spans="1:14" s="162" customFormat="1" ht="0.2" customHeight="1" x14ac:dyDescent="0.15">
      <c r="A253" s="674"/>
      <c r="B253" s="457" t="s">
        <v>391</v>
      </c>
      <c r="C253" s="675"/>
      <c r="D253" s="675"/>
      <c r="E253" s="675"/>
      <c r="F253" s="675"/>
      <c r="G253" s="675"/>
      <c r="H253" s="675"/>
      <c r="I253" s="673"/>
      <c r="J253" s="673"/>
      <c r="K253" s="673"/>
      <c r="L253" s="673"/>
      <c r="M253" s="1400"/>
      <c r="N253" s="1393">
        <f>SUM(C253:M253)</f>
        <v>0</v>
      </c>
    </row>
    <row r="254" spans="1:14" s="162" customFormat="1" ht="12" customHeight="1" x14ac:dyDescent="0.15">
      <c r="A254" s="734" t="s">
        <v>298</v>
      </c>
      <c r="B254" s="655" t="s">
        <v>112</v>
      </c>
      <c r="C254" s="675"/>
      <c r="D254" s="675"/>
      <c r="E254" s="675"/>
      <c r="F254" s="675"/>
      <c r="G254" s="675"/>
      <c r="H254" s="675"/>
      <c r="I254" s="673"/>
      <c r="J254" s="673"/>
      <c r="K254" s="673"/>
      <c r="L254" s="673"/>
      <c r="M254" s="1400"/>
      <c r="N254" s="1394"/>
    </row>
    <row r="255" spans="1:14" s="162" customFormat="1" ht="12" customHeight="1" thickBot="1" x14ac:dyDescent="0.2">
      <c r="A255" s="689"/>
      <c r="B255" s="686" t="s">
        <v>392</v>
      </c>
      <c r="C255" s="690"/>
      <c r="D255" s="690"/>
      <c r="E255" s="690"/>
      <c r="F255" s="690"/>
      <c r="G255" s="690"/>
      <c r="H255" s="690"/>
      <c r="I255" s="691"/>
      <c r="J255" s="691"/>
      <c r="K255" s="691"/>
      <c r="L255" s="691"/>
      <c r="M255" s="1402"/>
      <c r="N255" s="1395">
        <f>SUM(C255:M255)</f>
        <v>0</v>
      </c>
    </row>
    <row r="256" spans="1:14" s="162" customFormat="1" ht="0.2" customHeight="1" x14ac:dyDescent="0.15">
      <c r="A256" s="1822"/>
      <c r="B256" s="1825" t="s">
        <v>393</v>
      </c>
      <c r="C256" s="692"/>
      <c r="D256" s="692"/>
      <c r="E256" s="692"/>
      <c r="F256" s="692"/>
      <c r="G256" s="692"/>
      <c r="H256" s="692"/>
      <c r="I256" s="688"/>
      <c r="J256" s="688"/>
      <c r="K256" s="688"/>
      <c r="L256" s="688"/>
      <c r="M256" s="1829"/>
      <c r="N256" s="1394">
        <f>SUM(C256:M256)</f>
        <v>0</v>
      </c>
    </row>
    <row r="257" spans="1:17" s="162" customFormat="1" ht="0.2" customHeight="1" x14ac:dyDescent="0.15">
      <c r="A257" s="674"/>
      <c r="B257" s="457" t="s">
        <v>391</v>
      </c>
      <c r="C257" s="675"/>
      <c r="D257" s="675"/>
      <c r="E257" s="675"/>
      <c r="F257" s="675"/>
      <c r="G257" s="675"/>
      <c r="H257" s="675"/>
      <c r="I257" s="673"/>
      <c r="J257" s="673"/>
      <c r="K257" s="673"/>
      <c r="L257" s="673"/>
      <c r="M257" s="1400"/>
      <c r="N257" s="1393">
        <f>SUM(C257:M257)</f>
        <v>0</v>
      </c>
    </row>
    <row r="258" spans="1:17" s="162" customFormat="1" ht="12" customHeight="1" x14ac:dyDescent="0.15">
      <c r="A258" s="734" t="s">
        <v>299</v>
      </c>
      <c r="B258" s="655" t="s">
        <v>86</v>
      </c>
      <c r="C258" s="675"/>
      <c r="D258" s="675"/>
      <c r="E258" s="675"/>
      <c r="F258" s="675"/>
      <c r="G258" s="675"/>
      <c r="H258" s="675"/>
      <c r="I258" s="673"/>
      <c r="J258" s="673"/>
      <c r="K258" s="673"/>
      <c r="L258" s="673"/>
      <c r="M258" s="1400"/>
      <c r="N258" s="1394"/>
    </row>
    <row r="259" spans="1:17" s="162" customFormat="1" ht="12" customHeight="1" thickBot="1" x14ac:dyDescent="0.2">
      <c r="A259" s="689"/>
      <c r="B259" s="686" t="s">
        <v>392</v>
      </c>
      <c r="C259" s="690"/>
      <c r="D259" s="690"/>
      <c r="E259" s="690"/>
      <c r="F259" s="690"/>
      <c r="G259" s="690"/>
      <c r="H259" s="690"/>
      <c r="I259" s="691"/>
      <c r="J259" s="691"/>
      <c r="K259" s="691">
        <f>SUM('6. sz.melléklet'!K152)</f>
        <v>64451</v>
      </c>
      <c r="L259" s="691">
        <f>SUM('6. sz.melléklet'!L152)</f>
        <v>20400</v>
      </c>
      <c r="M259" s="1402"/>
      <c r="N259" s="1395">
        <f>SUM(C259:M259)</f>
        <v>84851</v>
      </c>
    </row>
    <row r="260" spans="1:17" s="162" customFormat="1" ht="0.2" customHeight="1" x14ac:dyDescent="0.15">
      <c r="A260" s="1822"/>
      <c r="B260" s="1825" t="s">
        <v>393</v>
      </c>
      <c r="C260" s="692"/>
      <c r="D260" s="692"/>
      <c r="E260" s="692"/>
      <c r="F260" s="692"/>
      <c r="G260" s="692"/>
      <c r="H260" s="692"/>
      <c r="I260" s="688"/>
      <c r="J260" s="688"/>
      <c r="K260" s="688"/>
      <c r="L260" s="688"/>
      <c r="M260" s="1829"/>
      <c r="N260" s="1394">
        <f>SUM(C260:M260)</f>
        <v>0</v>
      </c>
    </row>
    <row r="261" spans="1:17" s="162" customFormat="1" ht="0.2" customHeight="1" x14ac:dyDescent="0.15">
      <c r="A261" s="674"/>
      <c r="B261" s="457" t="s">
        <v>391</v>
      </c>
      <c r="C261" s="675"/>
      <c r="D261" s="675"/>
      <c r="E261" s="675"/>
      <c r="F261" s="675"/>
      <c r="G261" s="675"/>
      <c r="H261" s="675"/>
      <c r="I261" s="673"/>
      <c r="J261" s="673"/>
      <c r="K261" s="673"/>
      <c r="L261" s="673"/>
      <c r="M261" s="1400"/>
      <c r="N261" s="1393">
        <f>SUM(C261:M261)</f>
        <v>0</v>
      </c>
    </row>
    <row r="262" spans="1:17" s="162" customFormat="1" ht="12" customHeight="1" thickBot="1" x14ac:dyDescent="0.2">
      <c r="A262" s="689"/>
      <c r="B262" s="1099"/>
      <c r="C262" s="690"/>
      <c r="D262" s="690"/>
      <c r="E262" s="690"/>
      <c r="F262" s="690"/>
      <c r="G262" s="690"/>
      <c r="H262" s="690"/>
      <c r="I262" s="691"/>
      <c r="J262" s="691"/>
      <c r="K262" s="691"/>
      <c r="L262" s="691"/>
      <c r="M262" s="1402"/>
      <c r="N262" s="1395"/>
    </row>
    <row r="263" spans="1:17" s="162" customFormat="1" ht="12" customHeight="1" thickBot="1" x14ac:dyDescent="0.25">
      <c r="A263" s="1973" t="s">
        <v>409</v>
      </c>
      <c r="B263" s="1974"/>
      <c r="C263" s="697"/>
      <c r="D263" s="697"/>
      <c r="E263" s="697"/>
      <c r="F263" s="697"/>
      <c r="G263" s="697"/>
      <c r="H263" s="697"/>
      <c r="I263" s="697"/>
      <c r="J263" s="697"/>
      <c r="K263" s="697"/>
      <c r="L263" s="697"/>
      <c r="M263" s="697"/>
      <c r="N263" s="704"/>
      <c r="O263" s="679"/>
      <c r="P263" s="667"/>
    </row>
    <row r="264" spans="1:17" s="162" customFormat="1" ht="12" customHeight="1" x14ac:dyDescent="0.15">
      <c r="A264" s="694"/>
      <c r="B264" s="695" t="s">
        <v>392</v>
      </c>
      <c r="C264" s="696">
        <f>SUM(C259+C255+C251+C247+C243+C239+C235+C231+C229+C225+C221+C217+C213+C209+C205+C201+C197+C193+C189+C185+C181+C177+C173+C169+C165+C161+C157+C153+C149+C145)</f>
        <v>28913</v>
      </c>
      <c r="D264" s="696">
        <f>SUM(D251+D247+D243+D239+D235+D231+D229+D225+D221+D217+D213+D209+D205+D201+D197+D193+D189+D185+D181+D177+D173+D169+D165+D161+D157+D153+D149+D145)</f>
        <v>9490</v>
      </c>
      <c r="E264" s="696">
        <f>SUM(E259+E255+E251+E247+E243+E239+E235+E231+E229+E225+E221+E217+E213+E209+E205+E201+E197+E193+E189+E185+E181+E177+E173+E169+E165+E161+E157+E153+E149+E145)</f>
        <v>150538</v>
      </c>
      <c r="F264" s="696">
        <f>SUM(F259+F255+F251+F247+F243+F239+F235+F231+F229+F225+F221+F217+F213+F209+F205+F201+F197+F193+F189+F185+F181+F177+F173+F169+F165+F161+F157+F153+F149+F145)</f>
        <v>50501</v>
      </c>
      <c r="G264" s="696">
        <f>SUM(G209+G205+G201+G193+G189+G185+G181+G177+G173+G169+G165+G161+G157+G153+G149+G145)</f>
        <v>227360</v>
      </c>
      <c r="H264" s="696">
        <f>SUM(H193+H189+H185+H181+H177+H173+H169+H165+H161+H157+H153+H149+H145)</f>
        <v>283960</v>
      </c>
      <c r="I264" s="696">
        <f>SUM(I231+I221+I217+I213+I209+I205+I201+I197+I193+I189+I185+I181+I177+I173+I169+I165+I161+I157+I153+I149+I145)</f>
        <v>41708</v>
      </c>
      <c r="J264" s="696">
        <f>SUM(J221+J217+J209+J213+J205+J193+J189+J185+J181+J177+J169+J165+J161+J157+J153+J149+J145)</f>
        <v>169055</v>
      </c>
      <c r="K264" s="696">
        <f>SUM(K259)</f>
        <v>64451</v>
      </c>
      <c r="L264" s="696">
        <f>SUM(L259)</f>
        <v>20400</v>
      </c>
      <c r="M264" s="696">
        <f>SUM(M145+M149+M153+M157+M161+M255)</f>
        <v>389113</v>
      </c>
      <c r="N264" s="701">
        <f>SUM(C264:M264)</f>
        <v>1435489</v>
      </c>
      <c r="O264" s="679"/>
      <c r="P264" s="667"/>
      <c r="Q264" s="1054">
        <f>SUM(C264:M264)</f>
        <v>1435489</v>
      </c>
    </row>
    <row r="265" spans="1:17" s="162" customFormat="1" ht="0.2" customHeight="1" x14ac:dyDescent="0.15">
      <c r="A265" s="694"/>
      <c r="B265" s="695" t="s">
        <v>393</v>
      </c>
      <c r="C265" s="660"/>
      <c r="D265" s="660"/>
      <c r="E265" s="660"/>
      <c r="F265" s="660"/>
      <c r="G265" s="660"/>
      <c r="H265" s="660"/>
      <c r="I265" s="660"/>
      <c r="J265" s="660"/>
      <c r="K265" s="660"/>
      <c r="L265" s="660"/>
      <c r="M265" s="660"/>
      <c r="N265" s="698">
        <f>SUM(N260+N256+N252+N248+N244+N240+N236+N232+N226+N222+N218+N214+N210+N206+N202+N198+N194+N190+N186+N182+N178+N174+N170+N166+N162+N158+N154+N146)</f>
        <v>0</v>
      </c>
      <c r="O265" s="679"/>
      <c r="P265" s="667"/>
      <c r="Q265" s="1054">
        <f>SUM(C265:M265)</f>
        <v>0</v>
      </c>
    </row>
    <row r="266" spans="1:17" s="162" customFormat="1" ht="0.2" customHeight="1" thickBot="1" x14ac:dyDescent="0.2">
      <c r="A266" s="702"/>
      <c r="B266" s="703" t="s">
        <v>391</v>
      </c>
      <c r="C266" s="660"/>
      <c r="D266" s="660"/>
      <c r="E266" s="660"/>
      <c r="F266" s="660"/>
      <c r="G266" s="660"/>
      <c r="H266" s="660"/>
      <c r="I266" s="660"/>
      <c r="J266" s="660"/>
      <c r="K266" s="660"/>
      <c r="L266" s="660"/>
      <c r="M266" s="660"/>
      <c r="N266" s="698">
        <f>SUM(N261+N257+N253+N249+N245+N241+N237+N233+N227+N223+N219+N215+N211+N207+N203+N199+N195+N191+N187+N183+N179+N175+N171+N167+N163+N159+N155+N147+N151)</f>
        <v>0</v>
      </c>
      <c r="O266" s="679"/>
      <c r="P266" s="667"/>
      <c r="Q266" s="1054">
        <f>SUM(C266:M266)</f>
        <v>0</v>
      </c>
    </row>
    <row r="267" spans="1:17" s="162" customFormat="1" ht="12" customHeight="1" x14ac:dyDescent="0.15">
      <c r="A267" s="699"/>
      <c r="B267" s="700"/>
      <c r="C267" s="692"/>
      <c r="D267" s="692"/>
      <c r="E267" s="693"/>
      <c r="F267" s="692"/>
      <c r="G267" s="692"/>
      <c r="H267" s="692"/>
      <c r="I267" s="692"/>
      <c r="J267" s="692"/>
      <c r="K267" s="692"/>
      <c r="L267" s="688"/>
      <c r="M267" s="688"/>
      <c r="N267" s="701"/>
      <c r="O267" s="680"/>
      <c r="P267" s="681"/>
    </row>
    <row r="268" spans="1:17" s="162" customFormat="1" ht="12" customHeight="1" thickBot="1" x14ac:dyDescent="0.2">
      <c r="A268" s="1957" t="s">
        <v>187</v>
      </c>
      <c r="B268" s="1958"/>
      <c r="C268" s="672"/>
      <c r="D268" s="672"/>
      <c r="E268" s="677"/>
      <c r="F268" s="672"/>
      <c r="G268" s="672"/>
      <c r="H268" s="672"/>
      <c r="I268" s="672"/>
      <c r="J268" s="672"/>
      <c r="K268" s="672"/>
      <c r="L268" s="1403"/>
      <c r="M268" s="1403"/>
      <c r="N268" s="1704"/>
      <c r="O268" s="680"/>
      <c r="P268" s="681"/>
    </row>
    <row r="269" spans="1:17" s="670" customFormat="1" ht="12" customHeight="1" x14ac:dyDescent="0.15">
      <c r="A269" s="1030" t="s">
        <v>264</v>
      </c>
      <c r="B269" s="1396" t="s">
        <v>265</v>
      </c>
      <c r="C269" s="1397"/>
      <c r="D269" s="1397"/>
      <c r="E269" s="1397"/>
      <c r="F269" s="1397"/>
      <c r="G269" s="1397"/>
      <c r="H269" s="1397"/>
      <c r="I269" s="1397"/>
      <c r="J269" s="1397"/>
      <c r="K269" s="1397"/>
      <c r="L269" s="1397"/>
      <c r="M269" s="1398"/>
      <c r="N269" s="1701"/>
      <c r="O269" s="682"/>
      <c r="P269" s="683"/>
    </row>
    <row r="270" spans="1:17" s="670" customFormat="1" ht="12" customHeight="1" thickBot="1" x14ac:dyDescent="0.2">
      <c r="A270" s="1660"/>
      <c r="B270" s="686" t="s">
        <v>392</v>
      </c>
      <c r="C270" s="1830">
        <f>SUM('6. sz.melléklet'!C26)</f>
        <v>720</v>
      </c>
      <c r="D270" s="1830">
        <f>SUM('6. sz.melléklet'!D26)</f>
        <v>195</v>
      </c>
      <c r="E270" s="1830">
        <f>SUM('6. sz.melléklet'!E26)</f>
        <v>864</v>
      </c>
      <c r="F270" s="1830"/>
      <c r="G270" s="1830"/>
      <c r="H270" s="1830"/>
      <c r="I270" s="1830"/>
      <c r="J270" s="1830"/>
      <c r="K270" s="1830"/>
      <c r="L270" s="1830"/>
      <c r="M270" s="1831"/>
      <c r="N270" s="1395">
        <f>SUM(C270:M270)</f>
        <v>1779</v>
      </c>
      <c r="O270" s="682"/>
      <c r="P270" s="683"/>
    </row>
    <row r="271" spans="1:17" s="670" customFormat="1" ht="0.2" customHeight="1" x14ac:dyDescent="0.15">
      <c r="A271" s="1824"/>
      <c r="B271" s="1825" t="s">
        <v>393</v>
      </c>
      <c r="C271" s="1826"/>
      <c r="D271" s="1826"/>
      <c r="E271" s="1826"/>
      <c r="F271" s="1826"/>
      <c r="G271" s="1826"/>
      <c r="H271" s="1826"/>
      <c r="I271" s="1826"/>
      <c r="J271" s="1826"/>
      <c r="K271" s="1826"/>
      <c r="L271" s="1826"/>
      <c r="M271" s="1827"/>
      <c r="N271" s="1394">
        <f>SUM(C271:M271)</f>
        <v>0</v>
      </c>
      <c r="O271" s="682"/>
      <c r="P271" s="683"/>
    </row>
    <row r="272" spans="1:17" s="670" customFormat="1" ht="0.2" customHeight="1" x14ac:dyDescent="0.15">
      <c r="A272" s="671"/>
      <c r="B272" s="457" t="s">
        <v>391</v>
      </c>
      <c r="C272" s="669"/>
      <c r="D272" s="669"/>
      <c r="E272" s="669"/>
      <c r="F272" s="669"/>
      <c r="G272" s="669"/>
      <c r="H272" s="669"/>
      <c r="I272" s="669"/>
      <c r="J272" s="669"/>
      <c r="K272" s="669"/>
      <c r="L272" s="669"/>
      <c r="M272" s="1399"/>
      <c r="N272" s="1393">
        <f>SUM(C272:M272)</f>
        <v>0</v>
      </c>
      <c r="O272" s="682"/>
      <c r="P272" s="683"/>
    </row>
    <row r="273" spans="1:16" s="670" customFormat="1" ht="12" customHeight="1" x14ac:dyDescent="0.15">
      <c r="A273" s="668" t="s">
        <v>266</v>
      </c>
      <c r="B273" s="656" t="s">
        <v>267</v>
      </c>
      <c r="C273" s="669"/>
      <c r="D273" s="669"/>
      <c r="E273" s="669"/>
      <c r="F273" s="669"/>
      <c r="G273" s="669"/>
      <c r="H273" s="669"/>
      <c r="I273" s="669"/>
      <c r="J273" s="669"/>
      <c r="K273" s="669"/>
      <c r="L273" s="669"/>
      <c r="M273" s="1399"/>
      <c r="N273" s="1394"/>
      <c r="O273" s="682"/>
      <c r="P273" s="683"/>
    </row>
    <row r="274" spans="1:16" s="670" customFormat="1" ht="12" customHeight="1" thickBot="1" x14ac:dyDescent="0.2">
      <c r="A274" s="1660"/>
      <c r="B274" s="686" t="s">
        <v>392</v>
      </c>
      <c r="C274" s="1830">
        <f>SUM('6. sz.melléklet'!C30)</f>
        <v>7854</v>
      </c>
      <c r="D274" s="1830">
        <f>SUM('6. sz.melléklet'!D30)</f>
        <v>2245</v>
      </c>
      <c r="E274" s="1830">
        <f>SUM('6. sz.melléklet'!E30)</f>
        <v>6220</v>
      </c>
      <c r="F274" s="1830"/>
      <c r="G274" s="1830"/>
      <c r="H274" s="1830"/>
      <c r="I274" s="1830"/>
      <c r="J274" s="1830"/>
      <c r="K274" s="1830"/>
      <c r="L274" s="1830"/>
      <c r="M274" s="1831"/>
      <c r="N274" s="1395">
        <f>SUM(C274:M274)</f>
        <v>16319</v>
      </c>
      <c r="O274" s="682"/>
      <c r="P274" s="683"/>
    </row>
    <row r="275" spans="1:16" s="670" customFormat="1" ht="0.2" customHeight="1" x14ac:dyDescent="0.15">
      <c r="A275" s="1824"/>
      <c r="B275" s="1825" t="s">
        <v>393</v>
      </c>
      <c r="C275" s="1826"/>
      <c r="D275" s="1826"/>
      <c r="E275" s="1826"/>
      <c r="F275" s="1826"/>
      <c r="G275" s="1826"/>
      <c r="H275" s="1826"/>
      <c r="I275" s="1826"/>
      <c r="J275" s="1826"/>
      <c r="K275" s="1826"/>
      <c r="L275" s="1826"/>
      <c r="M275" s="1827"/>
      <c r="N275" s="1394">
        <f>SUM(C275:M275)</f>
        <v>0</v>
      </c>
      <c r="O275" s="682"/>
      <c r="P275" s="683"/>
    </row>
    <row r="276" spans="1:16" s="670" customFormat="1" ht="0.2" customHeight="1" x14ac:dyDescent="0.15">
      <c r="A276" s="671"/>
      <c r="B276" s="457" t="s">
        <v>391</v>
      </c>
      <c r="C276" s="669"/>
      <c r="D276" s="669"/>
      <c r="E276" s="669"/>
      <c r="F276" s="669"/>
      <c r="G276" s="669"/>
      <c r="H276" s="669"/>
      <c r="I276" s="669"/>
      <c r="J276" s="669"/>
      <c r="K276" s="669"/>
      <c r="L276" s="669"/>
      <c r="M276" s="1399"/>
      <c r="N276" s="1393">
        <f>SUM(C276:M276)</f>
        <v>0</v>
      </c>
      <c r="O276" s="682"/>
      <c r="P276" s="683"/>
    </row>
    <row r="277" spans="1:16" s="670" customFormat="1" ht="12" customHeight="1" x14ac:dyDescent="0.15">
      <c r="A277" s="668" t="s">
        <v>294</v>
      </c>
      <c r="B277" s="656" t="s">
        <v>295</v>
      </c>
      <c r="C277" s="669"/>
      <c r="D277" s="669"/>
      <c r="E277" s="669"/>
      <c r="F277" s="669"/>
      <c r="G277" s="669"/>
      <c r="H277" s="669"/>
      <c r="I277" s="669"/>
      <c r="J277" s="669"/>
      <c r="K277" s="669"/>
      <c r="L277" s="669"/>
      <c r="M277" s="1399"/>
      <c r="N277" s="1394"/>
      <c r="O277" s="682"/>
      <c r="P277" s="683"/>
    </row>
    <row r="278" spans="1:16" s="670" customFormat="1" ht="12" customHeight="1" thickBot="1" x14ac:dyDescent="0.2">
      <c r="A278" s="1660"/>
      <c r="B278" s="686" t="s">
        <v>392</v>
      </c>
      <c r="C278" s="1830"/>
      <c r="D278" s="1830"/>
      <c r="E278" s="1830">
        <f>SUM('6. sz.melléklet'!E34)</f>
        <v>5334</v>
      </c>
      <c r="F278" s="1830"/>
      <c r="G278" s="1830"/>
      <c r="H278" s="1830"/>
      <c r="I278" s="1830"/>
      <c r="J278" s="1830"/>
      <c r="K278" s="1830"/>
      <c r="L278" s="1830"/>
      <c r="M278" s="1831"/>
      <c r="N278" s="1395">
        <f>SUM(C278:M278)</f>
        <v>5334</v>
      </c>
      <c r="O278" s="682"/>
      <c r="P278" s="683"/>
    </row>
    <row r="279" spans="1:16" s="670" customFormat="1" ht="0.2" customHeight="1" x14ac:dyDescent="0.15">
      <c r="A279" s="1824"/>
      <c r="B279" s="1825" t="s">
        <v>393</v>
      </c>
      <c r="C279" s="1826"/>
      <c r="D279" s="1826"/>
      <c r="E279" s="1826"/>
      <c r="F279" s="1826"/>
      <c r="G279" s="1826"/>
      <c r="H279" s="1826"/>
      <c r="I279" s="1826"/>
      <c r="J279" s="1826"/>
      <c r="K279" s="1826"/>
      <c r="L279" s="1826"/>
      <c r="M279" s="1827"/>
      <c r="N279" s="1394">
        <f t="shared" ref="N279:N295" si="23">SUM(C279:M279)</f>
        <v>0</v>
      </c>
      <c r="O279" s="682"/>
      <c r="P279" s="683"/>
    </row>
    <row r="280" spans="1:16" s="670" customFormat="1" ht="0.2" customHeight="1" x14ac:dyDescent="0.15">
      <c r="A280" s="671"/>
      <c r="B280" s="457" t="s">
        <v>391</v>
      </c>
      <c r="C280" s="669"/>
      <c r="D280" s="669"/>
      <c r="E280" s="669"/>
      <c r="F280" s="669"/>
      <c r="G280" s="669"/>
      <c r="H280" s="669"/>
      <c r="I280" s="669"/>
      <c r="J280" s="669"/>
      <c r="K280" s="669"/>
      <c r="L280" s="669"/>
      <c r="M280" s="1399"/>
      <c r="N280" s="1393">
        <f t="shared" ref="N280" si="24">SUM(C280:M280)</f>
        <v>0</v>
      </c>
      <c r="O280" s="682"/>
      <c r="P280" s="683"/>
    </row>
    <row r="281" spans="1:16" s="162" customFormat="1" ht="12" customHeight="1" x14ac:dyDescent="0.15">
      <c r="A281" s="734" t="s">
        <v>268</v>
      </c>
      <c r="B281" s="655" t="s">
        <v>269</v>
      </c>
      <c r="C281" s="675"/>
      <c r="D281" s="675"/>
      <c r="E281" s="675"/>
      <c r="F281" s="675"/>
      <c r="G281" s="675"/>
      <c r="H281" s="675"/>
      <c r="I281" s="673"/>
      <c r="J281" s="673"/>
      <c r="K281" s="673"/>
      <c r="L281" s="673"/>
      <c r="M281" s="1400"/>
      <c r="N281" s="1394"/>
      <c r="O281" s="161"/>
      <c r="P281" s="684"/>
    </row>
    <row r="282" spans="1:16" s="162" customFormat="1" ht="12" customHeight="1" thickBot="1" x14ac:dyDescent="0.2">
      <c r="A282" s="689"/>
      <c r="B282" s="686" t="s">
        <v>392</v>
      </c>
      <c r="C282" s="690">
        <f>SUM('6. sz.melléklet'!C38)</f>
        <v>480</v>
      </c>
      <c r="D282" s="690">
        <f>SUM('6. sz.melléklet'!D38)</f>
        <v>130</v>
      </c>
      <c r="E282" s="690">
        <f>SUM('6. sz.melléklet'!E38)</f>
        <v>940</v>
      </c>
      <c r="F282" s="690"/>
      <c r="G282" s="690"/>
      <c r="H282" s="690"/>
      <c r="I282" s="691"/>
      <c r="J282" s="691"/>
      <c r="K282" s="691"/>
      <c r="L282" s="691"/>
      <c r="M282" s="1402"/>
      <c r="N282" s="1395">
        <f t="shared" si="23"/>
        <v>1550</v>
      </c>
      <c r="O282" s="161"/>
      <c r="P282" s="684"/>
    </row>
    <row r="283" spans="1:16" s="162" customFormat="1" ht="0.2" customHeight="1" x14ac:dyDescent="0.15">
      <c r="A283" s="1822"/>
      <c r="B283" s="1825" t="s">
        <v>393</v>
      </c>
      <c r="C283" s="692"/>
      <c r="D283" s="692"/>
      <c r="E283" s="692"/>
      <c r="F283" s="692"/>
      <c r="G283" s="692"/>
      <c r="H283" s="692"/>
      <c r="I283" s="688"/>
      <c r="J283" s="688"/>
      <c r="K283" s="688"/>
      <c r="L283" s="688"/>
      <c r="M283" s="1829"/>
      <c r="N283" s="1394">
        <f t="shared" si="23"/>
        <v>0</v>
      </c>
      <c r="O283" s="161"/>
      <c r="P283" s="684"/>
    </row>
    <row r="284" spans="1:16" s="162" customFormat="1" ht="0.2" customHeight="1" x14ac:dyDescent="0.15">
      <c r="A284" s="674"/>
      <c r="B284" s="457" t="s">
        <v>391</v>
      </c>
      <c r="C284" s="675"/>
      <c r="D284" s="675"/>
      <c r="E284" s="675"/>
      <c r="F284" s="675"/>
      <c r="G284" s="675"/>
      <c r="H284" s="675"/>
      <c r="I284" s="673"/>
      <c r="J284" s="673"/>
      <c r="K284" s="673"/>
      <c r="L284" s="673"/>
      <c r="M284" s="1400"/>
      <c r="N284" s="1393">
        <f t="shared" ref="N284" si="25">SUM(C284:M284)</f>
        <v>0</v>
      </c>
      <c r="O284" s="161"/>
      <c r="P284" s="684"/>
    </row>
    <row r="285" spans="1:16" s="162" customFormat="1" ht="24.75" customHeight="1" x14ac:dyDescent="0.15">
      <c r="A285" s="734" t="s">
        <v>313</v>
      </c>
      <c r="B285" s="655" t="s">
        <v>314</v>
      </c>
      <c r="C285" s="675"/>
      <c r="D285" s="675"/>
      <c r="E285" s="675"/>
      <c r="F285" s="675"/>
      <c r="G285" s="675"/>
      <c r="H285" s="675"/>
      <c r="I285" s="673"/>
      <c r="J285" s="673"/>
      <c r="K285" s="673"/>
      <c r="L285" s="673"/>
      <c r="M285" s="1400"/>
      <c r="N285" s="1394"/>
    </row>
    <row r="286" spans="1:16" s="162" customFormat="1" ht="12" customHeight="1" thickBot="1" x14ac:dyDescent="0.2">
      <c r="A286" s="689"/>
      <c r="B286" s="686" t="s">
        <v>392</v>
      </c>
      <c r="C286" s="690">
        <f>SUM('6. sz.melléklet'!C102)</f>
        <v>0</v>
      </c>
      <c r="D286" s="690">
        <f>SUM('6. sz.melléklet'!D102)</f>
        <v>0</v>
      </c>
      <c r="E286" s="690">
        <f>SUM('6. sz.melléklet'!E102)</f>
        <v>50</v>
      </c>
      <c r="F286" s="690"/>
      <c r="G286" s="690"/>
      <c r="H286" s="690">
        <f>SUM('6. sz.melléklet'!H102)</f>
        <v>127</v>
      </c>
      <c r="I286" s="691"/>
      <c r="J286" s="691"/>
      <c r="K286" s="691"/>
      <c r="L286" s="691"/>
      <c r="M286" s="1402"/>
      <c r="N286" s="1395">
        <f t="shared" si="23"/>
        <v>177</v>
      </c>
    </row>
    <row r="287" spans="1:16" s="162" customFormat="1" ht="0.2" customHeight="1" x14ac:dyDescent="0.15">
      <c r="A287" s="1822"/>
      <c r="B287" s="1825" t="s">
        <v>393</v>
      </c>
      <c r="C287" s="692"/>
      <c r="D287" s="692"/>
      <c r="E287" s="692"/>
      <c r="F287" s="692"/>
      <c r="G287" s="692"/>
      <c r="H287" s="692"/>
      <c r="I287" s="688"/>
      <c r="J287" s="688"/>
      <c r="K287" s="688"/>
      <c r="L287" s="688"/>
      <c r="M287" s="1829"/>
      <c r="N287" s="1394">
        <f t="shared" si="23"/>
        <v>0</v>
      </c>
    </row>
    <row r="288" spans="1:16" s="162" customFormat="1" ht="0.2" customHeight="1" x14ac:dyDescent="0.15">
      <c r="A288" s="674"/>
      <c r="B288" s="457" t="s">
        <v>391</v>
      </c>
      <c r="C288" s="675"/>
      <c r="D288" s="675"/>
      <c r="E288" s="675"/>
      <c r="F288" s="675"/>
      <c r="G288" s="675"/>
      <c r="H288" s="675"/>
      <c r="I288" s="673"/>
      <c r="J288" s="673"/>
      <c r="K288" s="673"/>
      <c r="L288" s="673"/>
      <c r="M288" s="1400"/>
      <c r="N288" s="1393">
        <f t="shared" ref="N288" si="26">SUM(C288:M288)</f>
        <v>0</v>
      </c>
    </row>
    <row r="289" spans="1:18" s="162" customFormat="1" ht="21.75" customHeight="1" x14ac:dyDescent="0.15">
      <c r="A289" s="734" t="s">
        <v>317</v>
      </c>
      <c r="B289" s="655" t="s">
        <v>318</v>
      </c>
      <c r="C289" s="675"/>
      <c r="D289" s="675"/>
      <c r="E289" s="675"/>
      <c r="F289" s="675"/>
      <c r="G289" s="675"/>
      <c r="H289" s="675"/>
      <c r="I289" s="673"/>
      <c r="J289" s="673"/>
      <c r="K289" s="673"/>
      <c r="L289" s="673"/>
      <c r="M289" s="1400"/>
      <c r="N289" s="1394"/>
    </row>
    <row r="290" spans="1:18" s="162" customFormat="1" ht="12" customHeight="1" thickBot="1" x14ac:dyDescent="0.2">
      <c r="A290" s="689"/>
      <c r="B290" s="686" t="s">
        <v>392</v>
      </c>
      <c r="C290" s="690">
        <f>SUM('6. sz.melléklet'!C106)</f>
        <v>500</v>
      </c>
      <c r="D290" s="690">
        <f>SUM('6. sz.melléklet'!D106)</f>
        <v>251</v>
      </c>
      <c r="E290" s="690">
        <f>SUM('6. sz.melléklet'!E106)</f>
        <v>65</v>
      </c>
      <c r="F290" s="690"/>
      <c r="G290" s="690"/>
      <c r="H290" s="690">
        <f>SUM('6. sz.melléklet'!H106)</f>
        <v>0</v>
      </c>
      <c r="I290" s="691"/>
      <c r="J290" s="691"/>
      <c r="K290" s="691"/>
      <c r="L290" s="691"/>
      <c r="M290" s="1402"/>
      <c r="N290" s="1395">
        <f t="shared" si="23"/>
        <v>816</v>
      </c>
    </row>
    <row r="291" spans="1:18" s="162" customFormat="1" ht="0.2" customHeight="1" x14ac:dyDescent="0.15">
      <c r="A291" s="1822"/>
      <c r="B291" s="1825" t="s">
        <v>393</v>
      </c>
      <c r="C291" s="692"/>
      <c r="D291" s="692"/>
      <c r="E291" s="692"/>
      <c r="F291" s="692"/>
      <c r="G291" s="692"/>
      <c r="H291" s="692"/>
      <c r="I291" s="688"/>
      <c r="J291" s="688"/>
      <c r="K291" s="688"/>
      <c r="L291" s="688"/>
      <c r="M291" s="1829"/>
      <c r="N291" s="1394">
        <f t="shared" si="23"/>
        <v>0</v>
      </c>
    </row>
    <row r="292" spans="1:18" s="162" customFormat="1" ht="0.2" customHeight="1" x14ac:dyDescent="0.15">
      <c r="A292" s="674"/>
      <c r="B292" s="457" t="s">
        <v>391</v>
      </c>
      <c r="C292" s="675"/>
      <c r="D292" s="675"/>
      <c r="E292" s="675"/>
      <c r="F292" s="675"/>
      <c r="G292" s="675"/>
      <c r="H292" s="675"/>
      <c r="I292" s="673"/>
      <c r="J292" s="673"/>
      <c r="K292" s="673"/>
      <c r="L292" s="673"/>
      <c r="M292" s="1400"/>
      <c r="N292" s="1393">
        <f t="shared" ref="N292" si="27">SUM(C292:M292)</f>
        <v>0</v>
      </c>
    </row>
    <row r="293" spans="1:18" s="162" customFormat="1" ht="24.75" customHeight="1" x14ac:dyDescent="0.15">
      <c r="A293" s="734" t="s">
        <v>315</v>
      </c>
      <c r="B293" s="655" t="s">
        <v>316</v>
      </c>
      <c r="C293" s="675"/>
      <c r="D293" s="675"/>
      <c r="E293" s="675"/>
      <c r="F293" s="675"/>
      <c r="G293" s="675"/>
      <c r="H293" s="675"/>
      <c r="I293" s="673"/>
      <c r="J293" s="673"/>
      <c r="K293" s="673"/>
      <c r="L293" s="673"/>
      <c r="M293" s="1400"/>
      <c r="N293" s="1394"/>
    </row>
    <row r="294" spans="1:18" s="162" customFormat="1" ht="12" customHeight="1" thickBot="1" x14ac:dyDescent="0.2">
      <c r="A294" s="689"/>
      <c r="B294" s="686" t="s">
        <v>392</v>
      </c>
      <c r="C294" s="690"/>
      <c r="D294" s="690"/>
      <c r="E294" s="690">
        <f>SUM('6. sz.melléklet'!E110)</f>
        <v>0</v>
      </c>
      <c r="F294" s="690"/>
      <c r="G294" s="690"/>
      <c r="H294" s="690"/>
      <c r="I294" s="691"/>
      <c r="J294" s="691"/>
      <c r="K294" s="691"/>
      <c r="L294" s="691"/>
      <c r="M294" s="1402"/>
      <c r="N294" s="1395">
        <f t="shared" si="23"/>
        <v>0</v>
      </c>
    </row>
    <row r="295" spans="1:18" s="162" customFormat="1" ht="0.2" customHeight="1" x14ac:dyDescent="0.15">
      <c r="A295" s="1822"/>
      <c r="B295" s="1825" t="s">
        <v>393</v>
      </c>
      <c r="C295" s="692"/>
      <c r="D295" s="692"/>
      <c r="E295" s="692"/>
      <c r="F295" s="692"/>
      <c r="G295" s="692"/>
      <c r="H295" s="692"/>
      <c r="I295" s="688"/>
      <c r="J295" s="688"/>
      <c r="K295" s="688"/>
      <c r="L295" s="688"/>
      <c r="M295" s="1829"/>
      <c r="N295" s="1394">
        <f t="shared" si="23"/>
        <v>0</v>
      </c>
    </row>
    <row r="296" spans="1:18" s="162" customFormat="1" ht="0.2" customHeight="1" x14ac:dyDescent="0.15">
      <c r="A296" s="674"/>
      <c r="B296" s="457" t="s">
        <v>391</v>
      </c>
      <c r="C296" s="675"/>
      <c r="D296" s="675"/>
      <c r="E296" s="675"/>
      <c r="F296" s="675"/>
      <c r="G296" s="675"/>
      <c r="H296" s="675"/>
      <c r="I296" s="673"/>
      <c r="J296" s="673"/>
      <c r="K296" s="673"/>
      <c r="L296" s="673"/>
      <c r="M296" s="1400"/>
      <c r="N296" s="1393">
        <f t="shared" ref="N296" si="28">SUM(C296:M296)</f>
        <v>0</v>
      </c>
    </row>
    <row r="297" spans="1:18" s="162" customFormat="1" ht="12" customHeight="1" x14ac:dyDescent="0.2">
      <c r="A297" s="734" t="s">
        <v>508</v>
      </c>
      <c r="B297" s="656" t="s">
        <v>509</v>
      </c>
      <c r="C297" s="381"/>
      <c r="D297" s="381"/>
      <c r="E297" s="381"/>
      <c r="F297" s="381"/>
      <c r="G297" s="381"/>
      <c r="H297" s="381"/>
      <c r="I297" s="380"/>
      <c r="J297" s="380"/>
      <c r="K297" s="380"/>
      <c r="L297" s="380"/>
      <c r="M297" s="1346"/>
      <c r="N297" s="1343"/>
    </row>
    <row r="298" spans="1:18" s="162" customFormat="1" ht="12" customHeight="1" thickBot="1" x14ac:dyDescent="0.25">
      <c r="A298" s="674"/>
      <c r="B298" s="457" t="s">
        <v>392</v>
      </c>
      <c r="C298" s="381">
        <f>SUM('6. sz.melléklet'!C140)</f>
        <v>24</v>
      </c>
      <c r="D298" s="381"/>
      <c r="E298" s="381"/>
      <c r="F298" s="381"/>
      <c r="G298" s="381"/>
      <c r="H298" s="381"/>
      <c r="I298" s="380"/>
      <c r="J298" s="380"/>
      <c r="K298" s="380"/>
      <c r="L298" s="380"/>
      <c r="M298" s="1346"/>
      <c r="N298" s="1343">
        <f>SUM(C298:M298)</f>
        <v>24</v>
      </c>
    </row>
    <row r="299" spans="1:18" s="162" customFormat="1" ht="0.2" customHeight="1" x14ac:dyDescent="0.2">
      <c r="A299" s="443"/>
      <c r="B299" s="440" t="s">
        <v>393</v>
      </c>
      <c r="C299" s="381"/>
      <c r="D299" s="381"/>
      <c r="E299" s="381"/>
      <c r="F299" s="381"/>
      <c r="G299" s="381"/>
      <c r="H299" s="381"/>
      <c r="I299" s="380"/>
      <c r="J299" s="380"/>
      <c r="K299" s="380"/>
      <c r="L299" s="380"/>
      <c r="M299" s="1346"/>
      <c r="N299" s="1343"/>
    </row>
    <row r="300" spans="1:18" s="162" customFormat="1" ht="0.2" customHeight="1" thickBot="1" x14ac:dyDescent="0.25">
      <c r="A300" s="518"/>
      <c r="B300" s="638" t="s">
        <v>391</v>
      </c>
      <c r="C300" s="559">
        <v>16</v>
      </c>
      <c r="D300" s="559"/>
      <c r="E300" s="559"/>
      <c r="F300" s="559"/>
      <c r="G300" s="559"/>
      <c r="H300" s="559"/>
      <c r="I300" s="570"/>
      <c r="J300" s="570"/>
      <c r="K300" s="570"/>
      <c r="L300" s="570"/>
      <c r="M300" s="1347"/>
      <c r="N300" s="1582">
        <f>SUM(C300:L300)</f>
        <v>16</v>
      </c>
    </row>
    <row r="301" spans="1:18" s="162" customFormat="1" ht="12" customHeight="1" x14ac:dyDescent="0.15">
      <c r="A301" s="706" t="s">
        <v>410</v>
      </c>
      <c r="B301" s="707"/>
      <c r="C301" s="664"/>
      <c r="D301" s="664"/>
      <c r="E301" s="664"/>
      <c r="F301" s="664"/>
      <c r="G301" s="664"/>
      <c r="H301" s="664"/>
      <c r="I301" s="664"/>
      <c r="J301" s="664"/>
      <c r="K301" s="664"/>
      <c r="L301" s="664"/>
      <c r="M301" s="664"/>
      <c r="N301" s="1705"/>
      <c r="O301" s="463"/>
      <c r="P301" s="685"/>
      <c r="R301" s="666"/>
    </row>
    <row r="302" spans="1:18" s="705" customFormat="1" ht="12" customHeight="1" x14ac:dyDescent="0.15">
      <c r="A302" s="709"/>
      <c r="B302" s="710" t="s">
        <v>392</v>
      </c>
      <c r="C302" s="711">
        <f>C270+C274+C278+C282+C286+C290+C294+C298</f>
        <v>9578</v>
      </c>
      <c r="D302" s="711">
        <f>D270+D274+D278+D282+D286+D290+D294</f>
        <v>2821</v>
      </c>
      <c r="E302" s="711">
        <f>E270+E274+E278+E282+E286+E290+E294</f>
        <v>13473</v>
      </c>
      <c r="F302" s="711">
        <f t="shared" ref="F302:M302" si="29">F270+F274+F278+F282+F286+F290+F294</f>
        <v>0</v>
      </c>
      <c r="G302" s="711">
        <f t="shared" si="29"/>
        <v>0</v>
      </c>
      <c r="H302" s="711">
        <f t="shared" si="29"/>
        <v>127</v>
      </c>
      <c r="I302" s="711">
        <f t="shared" si="29"/>
        <v>0</v>
      </c>
      <c r="J302" s="711">
        <f t="shared" si="29"/>
        <v>0</v>
      </c>
      <c r="K302" s="711">
        <f t="shared" si="29"/>
        <v>0</v>
      </c>
      <c r="L302" s="711">
        <f t="shared" si="29"/>
        <v>0</v>
      </c>
      <c r="M302" s="711">
        <f t="shared" si="29"/>
        <v>0</v>
      </c>
      <c r="N302" s="711">
        <f>N270+N274+N278+N282+N286+N290+N294+N298</f>
        <v>25999</v>
      </c>
      <c r="O302" s="712"/>
      <c r="P302" s="713"/>
      <c r="Q302" s="714">
        <f>SUM(C302:M302)</f>
        <v>25999</v>
      </c>
    </row>
    <row r="303" spans="1:18" s="705" customFormat="1" ht="0.2" customHeight="1" x14ac:dyDescent="0.15">
      <c r="A303" s="709"/>
      <c r="B303" s="710" t="s">
        <v>393</v>
      </c>
      <c r="C303" s="711">
        <f>C271+C275+C279+C283+C287+C291+C295</f>
        <v>0</v>
      </c>
      <c r="D303" s="711">
        <f t="shared" ref="D303:N303" si="30">D271+D275+D279+D283+D287+D291+D295</f>
        <v>0</v>
      </c>
      <c r="E303" s="711">
        <f t="shared" si="30"/>
        <v>0</v>
      </c>
      <c r="F303" s="711">
        <f t="shared" si="30"/>
        <v>0</v>
      </c>
      <c r="G303" s="711">
        <f t="shared" si="30"/>
        <v>0</v>
      </c>
      <c r="H303" s="711">
        <f t="shared" si="30"/>
        <v>0</v>
      </c>
      <c r="I303" s="711">
        <f t="shared" si="30"/>
        <v>0</v>
      </c>
      <c r="J303" s="711">
        <f t="shared" si="30"/>
        <v>0</v>
      </c>
      <c r="K303" s="711">
        <f t="shared" si="30"/>
        <v>0</v>
      </c>
      <c r="L303" s="711">
        <f t="shared" si="30"/>
        <v>0</v>
      </c>
      <c r="M303" s="711">
        <f t="shared" si="30"/>
        <v>0</v>
      </c>
      <c r="N303" s="711">
        <f t="shared" si="30"/>
        <v>0</v>
      </c>
      <c r="O303" s="714"/>
      <c r="P303" s="715"/>
    </row>
    <row r="304" spans="1:18" s="705" customFormat="1" ht="0.2" customHeight="1" x14ac:dyDescent="0.15">
      <c r="A304" s="1273"/>
      <c r="B304" s="1274" t="s">
        <v>391</v>
      </c>
      <c r="C304" s="711">
        <f>C272+C276+C280+C284+C288+C292+C296+C300</f>
        <v>16</v>
      </c>
      <c r="D304" s="711">
        <f t="shared" ref="D304:M304" si="31">D272+D276+D280+D284+D288+D292+D296</f>
        <v>0</v>
      </c>
      <c r="E304" s="711">
        <f t="shared" si="31"/>
        <v>0</v>
      </c>
      <c r="F304" s="711">
        <f t="shared" si="31"/>
        <v>0</v>
      </c>
      <c r="G304" s="711">
        <f t="shared" si="31"/>
        <v>0</v>
      </c>
      <c r="H304" s="711">
        <f t="shared" si="31"/>
        <v>0</v>
      </c>
      <c r="I304" s="711">
        <f t="shared" si="31"/>
        <v>0</v>
      </c>
      <c r="J304" s="711">
        <f t="shared" si="31"/>
        <v>0</v>
      </c>
      <c r="K304" s="711">
        <f t="shared" si="31"/>
        <v>0</v>
      </c>
      <c r="L304" s="711">
        <f t="shared" si="31"/>
        <v>0</v>
      </c>
      <c r="M304" s="711">
        <f t="shared" si="31"/>
        <v>0</v>
      </c>
      <c r="N304" s="711">
        <f>N272+N276+N280+N284+N288+N292+N296+N300</f>
        <v>16</v>
      </c>
      <c r="O304" s="714"/>
      <c r="P304" s="715"/>
      <c r="Q304" s="714">
        <f>SUM(C304:M304)</f>
        <v>16</v>
      </c>
    </row>
    <row r="305" spans="1:20" s="705" customFormat="1" ht="12" customHeight="1" thickBot="1" x14ac:dyDescent="0.2">
      <c r="A305" s="716"/>
      <c r="B305" s="717"/>
      <c r="C305" s="718"/>
      <c r="D305" s="718"/>
      <c r="E305" s="718"/>
      <c r="F305" s="718"/>
      <c r="G305" s="718"/>
      <c r="H305" s="718"/>
      <c r="I305" s="718"/>
      <c r="J305" s="718"/>
      <c r="K305" s="718"/>
      <c r="L305" s="718"/>
      <c r="M305" s="718"/>
      <c r="N305" s="718"/>
      <c r="O305" s="714"/>
      <c r="P305" s="714"/>
    </row>
    <row r="306" spans="1:20" s="705" customFormat="1" ht="12" customHeight="1" x14ac:dyDescent="0.15">
      <c r="A306" s="708" t="s">
        <v>411</v>
      </c>
      <c r="B306" s="708"/>
      <c r="C306" s="719"/>
      <c r="D306" s="719"/>
      <c r="E306" s="719"/>
      <c r="F306" s="719"/>
      <c r="G306" s="719"/>
      <c r="H306" s="719"/>
      <c r="I306" s="719"/>
      <c r="J306" s="719"/>
      <c r="K306" s="719"/>
      <c r="L306" s="719"/>
      <c r="M306" s="719"/>
      <c r="N306" s="720"/>
      <c r="O306" s="714"/>
      <c r="P306" s="714"/>
    </row>
    <row r="307" spans="1:20" s="705" customFormat="1" ht="10.5" x14ac:dyDescent="0.15">
      <c r="A307" s="709"/>
      <c r="B307" s="710" t="s">
        <v>392</v>
      </c>
      <c r="C307" s="711">
        <f>C264+C302</f>
        <v>38491</v>
      </c>
      <c r="D307" s="711">
        <f t="shared" ref="D307:N307" si="32">D264+D302</f>
        <v>12311</v>
      </c>
      <c r="E307" s="711">
        <f t="shared" si="32"/>
        <v>164011</v>
      </c>
      <c r="F307" s="711">
        <f t="shared" si="32"/>
        <v>50501</v>
      </c>
      <c r="G307" s="711">
        <f t="shared" si="32"/>
        <v>227360</v>
      </c>
      <c r="H307" s="711">
        <f t="shared" si="32"/>
        <v>284087</v>
      </c>
      <c r="I307" s="711">
        <f t="shared" si="32"/>
        <v>41708</v>
      </c>
      <c r="J307" s="711">
        <f t="shared" si="32"/>
        <v>169055</v>
      </c>
      <c r="K307" s="711">
        <f t="shared" si="32"/>
        <v>64451</v>
      </c>
      <c r="L307" s="711">
        <f t="shared" si="32"/>
        <v>20400</v>
      </c>
      <c r="M307" s="711">
        <f t="shared" si="32"/>
        <v>389113</v>
      </c>
      <c r="N307" s="711">
        <f t="shared" si="32"/>
        <v>1461488</v>
      </c>
      <c r="O307" s="714"/>
      <c r="P307" s="714"/>
      <c r="Q307" s="714">
        <f>SUM(C307:M307)</f>
        <v>1461488</v>
      </c>
    </row>
    <row r="308" spans="1:20" s="705" customFormat="1" ht="0.2" customHeight="1" x14ac:dyDescent="0.15">
      <c r="A308" s="709"/>
      <c r="B308" s="710" t="s">
        <v>393</v>
      </c>
      <c r="C308" s="711">
        <f>C265+C303</f>
        <v>0</v>
      </c>
      <c r="D308" s="711">
        <f t="shared" ref="D308:N308" si="33">D265+D303</f>
        <v>0</v>
      </c>
      <c r="E308" s="711">
        <f t="shared" si="33"/>
        <v>0</v>
      </c>
      <c r="F308" s="711">
        <f t="shared" si="33"/>
        <v>0</v>
      </c>
      <c r="G308" s="711">
        <f t="shared" si="33"/>
        <v>0</v>
      </c>
      <c r="H308" s="711">
        <f t="shared" si="33"/>
        <v>0</v>
      </c>
      <c r="I308" s="711">
        <f t="shared" si="33"/>
        <v>0</v>
      </c>
      <c r="J308" s="711">
        <f t="shared" si="33"/>
        <v>0</v>
      </c>
      <c r="K308" s="711">
        <f t="shared" si="33"/>
        <v>0</v>
      </c>
      <c r="L308" s="711">
        <f t="shared" si="33"/>
        <v>0</v>
      </c>
      <c r="M308" s="711">
        <f t="shared" si="33"/>
        <v>0</v>
      </c>
      <c r="N308" s="711">
        <f t="shared" si="33"/>
        <v>0</v>
      </c>
      <c r="O308" s="714">
        <v>878961</v>
      </c>
      <c r="P308" s="714"/>
      <c r="Q308" s="705">
        <v>1877678</v>
      </c>
      <c r="R308" s="714">
        <f>SUM(C308:M308)</f>
        <v>0</v>
      </c>
    </row>
    <row r="309" spans="1:20" s="705" customFormat="1" ht="0.2" customHeight="1" x14ac:dyDescent="0.15">
      <c r="A309" s="1273"/>
      <c r="B309" s="1274" t="s">
        <v>391</v>
      </c>
      <c r="C309" s="711">
        <f>C266+C304</f>
        <v>16</v>
      </c>
      <c r="D309" s="711">
        <f t="shared" ref="D309:N309" si="34">D266+D304</f>
        <v>0</v>
      </c>
      <c r="E309" s="711">
        <f t="shared" si="34"/>
        <v>0</v>
      </c>
      <c r="F309" s="711">
        <f t="shared" si="34"/>
        <v>0</v>
      </c>
      <c r="G309" s="711">
        <f t="shared" si="34"/>
        <v>0</v>
      </c>
      <c r="H309" s="711">
        <f t="shared" si="34"/>
        <v>0</v>
      </c>
      <c r="I309" s="711">
        <f t="shared" si="34"/>
        <v>0</v>
      </c>
      <c r="J309" s="711">
        <f t="shared" si="34"/>
        <v>0</v>
      </c>
      <c r="K309" s="711">
        <f t="shared" si="34"/>
        <v>0</v>
      </c>
      <c r="L309" s="711">
        <f t="shared" si="34"/>
        <v>0</v>
      </c>
      <c r="M309" s="711">
        <f t="shared" si="34"/>
        <v>0</v>
      </c>
      <c r="N309" s="711">
        <f t="shared" si="34"/>
        <v>16</v>
      </c>
      <c r="O309" s="714"/>
      <c r="P309" s="714"/>
      <c r="R309" s="714">
        <f>SUM(C309:M309)</f>
        <v>16</v>
      </c>
    </row>
    <row r="310" spans="1:20" s="705" customFormat="1" ht="0.2" customHeight="1" thickBot="1" x14ac:dyDescent="0.2">
      <c r="A310" s="716"/>
      <c r="B310" s="717" t="s">
        <v>498</v>
      </c>
      <c r="C310" s="1276" t="e">
        <f>SUM(C309/C308)</f>
        <v>#DIV/0!</v>
      </c>
      <c r="D310" s="1276" t="e">
        <f t="shared" ref="D310:N310" si="35">SUM(D309/D308)</f>
        <v>#DIV/0!</v>
      </c>
      <c r="E310" s="1276" t="e">
        <f t="shared" si="35"/>
        <v>#DIV/0!</v>
      </c>
      <c r="F310" s="1276" t="e">
        <f t="shared" si="35"/>
        <v>#DIV/0!</v>
      </c>
      <c r="G310" s="1276" t="e">
        <f t="shared" si="35"/>
        <v>#DIV/0!</v>
      </c>
      <c r="H310" s="1276" t="e">
        <f t="shared" si="35"/>
        <v>#DIV/0!</v>
      </c>
      <c r="I310" s="1276" t="e">
        <f t="shared" si="35"/>
        <v>#DIV/0!</v>
      </c>
      <c r="J310" s="1276" t="e">
        <f t="shared" si="35"/>
        <v>#DIV/0!</v>
      </c>
      <c r="K310" s="1276" t="e">
        <f t="shared" si="35"/>
        <v>#DIV/0!</v>
      </c>
      <c r="L310" s="1276" t="e">
        <f t="shared" si="35"/>
        <v>#DIV/0!</v>
      </c>
      <c r="M310" s="1276" t="e">
        <f t="shared" si="35"/>
        <v>#DIV/0!</v>
      </c>
      <c r="N310" s="1276" t="e">
        <f t="shared" si="35"/>
        <v>#DIV/0!</v>
      </c>
      <c r="O310" s="714"/>
      <c r="P310" s="714"/>
    </row>
    <row r="311" spans="1:20" s="64" customFormat="1" x14ac:dyDescent="0.2">
      <c r="C311" s="666"/>
      <c r="D311" s="666"/>
      <c r="E311" s="666"/>
      <c r="F311" s="666"/>
      <c r="G311" s="666"/>
      <c r="H311" s="666"/>
      <c r="I311" s="666"/>
      <c r="J311" s="666"/>
      <c r="K311" s="666"/>
      <c r="L311" s="666"/>
      <c r="M311" s="666"/>
      <c r="N311" s="666"/>
      <c r="O311" s="666"/>
      <c r="P311" s="666"/>
      <c r="Q311" s="162"/>
      <c r="R311" s="162"/>
      <c r="S311" s="162"/>
      <c r="T311" s="162"/>
    </row>
    <row r="312" spans="1:20" s="64" customFormat="1" x14ac:dyDescent="0.2">
      <c r="C312" s="666"/>
      <c r="D312" s="666"/>
      <c r="E312" s="666"/>
      <c r="F312" s="666"/>
      <c r="G312" s="666"/>
      <c r="H312" s="666"/>
      <c r="I312" s="666"/>
      <c r="J312" s="666"/>
      <c r="K312" s="666"/>
      <c r="L312" s="666"/>
      <c r="M312" s="666"/>
      <c r="N312" s="666"/>
      <c r="O312" s="666"/>
      <c r="P312" s="666"/>
      <c r="Q312" s="162"/>
      <c r="R312" s="162"/>
      <c r="S312" s="162"/>
      <c r="T312" s="162"/>
    </row>
    <row r="313" spans="1:20" s="64" customFormat="1" x14ac:dyDescent="0.2">
      <c r="C313" s="666"/>
      <c r="D313" s="666"/>
      <c r="E313" s="666"/>
      <c r="F313" s="666"/>
      <c r="G313" s="666"/>
      <c r="H313" s="666"/>
      <c r="I313" s="666"/>
      <c r="J313" s="666"/>
      <c r="K313" s="666"/>
      <c r="L313" s="666"/>
      <c r="M313" s="666"/>
      <c r="N313" s="666"/>
      <c r="O313" s="666"/>
      <c r="P313" s="666"/>
      <c r="Q313" s="162"/>
      <c r="R313" s="162"/>
      <c r="S313" s="162"/>
      <c r="T313" s="162"/>
    </row>
    <row r="314" spans="1:20" s="64" customFormat="1" x14ac:dyDescent="0.2">
      <c r="C314" s="666"/>
      <c r="D314" s="666"/>
      <c r="E314" s="666"/>
      <c r="F314" s="666"/>
      <c r="G314" s="666"/>
      <c r="H314" s="666"/>
      <c r="I314" s="666"/>
      <c r="J314" s="666"/>
      <c r="K314" s="666"/>
      <c r="L314" s="666"/>
      <c r="M314" s="666"/>
      <c r="N314" s="666"/>
      <c r="O314" s="666"/>
      <c r="P314" s="666"/>
      <c r="Q314" s="162"/>
      <c r="R314" s="162"/>
      <c r="S314" s="162"/>
      <c r="T314" s="162"/>
    </row>
    <row r="315" spans="1:20" s="64" customFormat="1" x14ac:dyDescent="0.2">
      <c r="C315" s="666"/>
      <c r="D315" s="666"/>
      <c r="E315" s="666"/>
      <c r="F315" s="666"/>
      <c r="G315" s="666"/>
      <c r="H315" s="666"/>
      <c r="I315" s="666"/>
      <c r="J315" s="666"/>
      <c r="K315" s="666"/>
      <c r="L315" s="666"/>
      <c r="M315" s="666"/>
      <c r="N315" s="666"/>
      <c r="O315" s="666"/>
      <c r="P315" s="666"/>
      <c r="Q315" s="162"/>
      <c r="R315" s="162"/>
      <c r="S315" s="162"/>
      <c r="T315" s="162"/>
    </row>
    <row r="316" spans="1:20" s="64" customFormat="1" x14ac:dyDescent="0.2">
      <c r="C316" s="666"/>
      <c r="D316" s="666"/>
      <c r="E316" s="666"/>
      <c r="F316" s="666"/>
      <c r="G316" s="666"/>
      <c r="H316" s="666"/>
      <c r="I316" s="666"/>
      <c r="J316" s="666"/>
      <c r="K316" s="666"/>
      <c r="L316" s="666"/>
      <c r="M316" s="666"/>
      <c r="N316" s="666"/>
      <c r="O316" s="666"/>
      <c r="P316" s="666"/>
      <c r="Q316" s="162"/>
      <c r="R316" s="162"/>
      <c r="S316" s="162"/>
      <c r="T316" s="162"/>
    </row>
    <row r="317" spans="1:20" s="64" customFormat="1" ht="15" customHeight="1" x14ac:dyDescent="0.2">
      <c r="C317" s="666"/>
      <c r="D317" s="666"/>
      <c r="E317" s="666"/>
      <c r="F317" s="666"/>
      <c r="G317" s="666"/>
      <c r="H317" s="666"/>
      <c r="I317" s="666"/>
      <c r="J317" s="666"/>
      <c r="K317" s="666"/>
      <c r="L317" s="666"/>
      <c r="M317" s="666"/>
      <c r="N317" s="666"/>
      <c r="O317" s="666"/>
      <c r="P317" s="666"/>
      <c r="Q317" s="162"/>
      <c r="R317" s="162"/>
      <c r="S317" s="162"/>
      <c r="T317" s="162"/>
    </row>
    <row r="318" spans="1:20" s="64" customFormat="1" ht="15" customHeight="1" x14ac:dyDescent="0.2">
      <c r="C318" s="666"/>
      <c r="D318" s="666"/>
      <c r="E318" s="666"/>
      <c r="F318" s="666"/>
      <c r="G318" s="666"/>
      <c r="H318" s="666"/>
      <c r="I318" s="666"/>
      <c r="J318" s="666"/>
      <c r="K318" s="666"/>
      <c r="L318" s="666"/>
      <c r="M318" s="666"/>
      <c r="N318" s="666"/>
      <c r="O318" s="666"/>
      <c r="P318" s="666"/>
      <c r="Q318" s="162"/>
      <c r="R318" s="162"/>
      <c r="S318" s="162"/>
      <c r="T318" s="162"/>
    </row>
    <row r="319" spans="1:20" s="64" customFormat="1" ht="15" customHeight="1" x14ac:dyDescent="0.2">
      <c r="C319" s="666"/>
      <c r="D319" s="666"/>
      <c r="E319" s="666"/>
      <c r="F319" s="666"/>
      <c r="G319" s="666"/>
      <c r="H319" s="666"/>
      <c r="I319" s="666"/>
      <c r="J319" s="666"/>
      <c r="K319" s="666"/>
      <c r="L319" s="666"/>
      <c r="M319" s="666"/>
      <c r="N319" s="666"/>
      <c r="O319" s="666"/>
      <c r="P319" s="666"/>
      <c r="Q319" s="162"/>
      <c r="R319" s="162"/>
      <c r="S319" s="162"/>
      <c r="T319" s="162"/>
    </row>
    <row r="320" spans="1:20" s="64" customFormat="1" ht="15" customHeight="1" x14ac:dyDescent="0.2">
      <c r="C320" s="666"/>
      <c r="D320" s="666"/>
      <c r="E320" s="666"/>
      <c r="F320" s="666"/>
      <c r="G320" s="666"/>
      <c r="H320" s="666"/>
      <c r="I320" s="666"/>
      <c r="J320" s="666"/>
      <c r="K320" s="666"/>
      <c r="L320" s="666"/>
      <c r="M320" s="666"/>
      <c r="N320" s="666"/>
      <c r="O320" s="666"/>
      <c r="P320" s="666"/>
      <c r="Q320" s="162"/>
      <c r="R320" s="162"/>
      <c r="S320" s="162"/>
      <c r="T320" s="162"/>
    </row>
    <row r="321" spans="3:20" s="64" customFormat="1" ht="15" customHeight="1" x14ac:dyDescent="0.2">
      <c r="C321" s="666"/>
      <c r="D321" s="666"/>
      <c r="E321" s="666"/>
      <c r="F321" s="666"/>
      <c r="G321" s="666"/>
      <c r="H321" s="666"/>
      <c r="I321" s="666"/>
      <c r="J321" s="666"/>
      <c r="K321" s="666"/>
      <c r="L321" s="666"/>
      <c r="M321" s="666"/>
      <c r="N321" s="666"/>
      <c r="O321" s="666"/>
      <c r="P321" s="666"/>
      <c r="Q321" s="162"/>
      <c r="R321" s="162"/>
      <c r="S321" s="162"/>
      <c r="T321" s="162"/>
    </row>
    <row r="322" spans="3:20" s="64" customFormat="1" ht="15" customHeight="1" x14ac:dyDescent="0.2">
      <c r="C322" s="666"/>
      <c r="D322" s="666"/>
      <c r="E322" s="666"/>
      <c r="F322" s="666"/>
      <c r="G322" s="666"/>
      <c r="H322" s="666"/>
      <c r="I322" s="666"/>
      <c r="J322" s="666"/>
      <c r="K322" s="666"/>
      <c r="L322" s="666"/>
      <c r="M322" s="666"/>
      <c r="N322" s="666"/>
      <c r="O322" s="666"/>
      <c r="P322" s="666"/>
      <c r="Q322" s="162"/>
      <c r="R322" s="162"/>
      <c r="S322" s="162"/>
      <c r="T322" s="162"/>
    </row>
    <row r="323" spans="3:20" s="64" customFormat="1" ht="15" customHeight="1" x14ac:dyDescent="0.2">
      <c r="C323" s="666"/>
      <c r="D323" s="666"/>
      <c r="E323" s="666"/>
      <c r="F323" s="666"/>
      <c r="G323" s="666"/>
      <c r="H323" s="666"/>
      <c r="I323" s="666"/>
      <c r="J323" s="666"/>
      <c r="K323" s="666"/>
      <c r="L323" s="666"/>
      <c r="M323" s="666"/>
      <c r="N323" s="666"/>
      <c r="O323" s="666"/>
      <c r="P323" s="666"/>
      <c r="Q323" s="162"/>
      <c r="R323" s="162"/>
      <c r="S323" s="162"/>
      <c r="T323" s="162"/>
    </row>
    <row r="324" spans="3:20" s="64" customFormat="1" ht="15" customHeight="1" x14ac:dyDescent="0.2">
      <c r="C324" s="666"/>
      <c r="D324" s="666"/>
      <c r="E324" s="666"/>
      <c r="F324" s="666"/>
      <c r="G324" s="666"/>
      <c r="H324" s="666"/>
      <c r="I324" s="666"/>
      <c r="J324" s="666"/>
      <c r="K324" s="666"/>
      <c r="L324" s="666"/>
      <c r="M324" s="666"/>
      <c r="N324" s="666"/>
      <c r="O324" s="666"/>
      <c r="P324" s="666"/>
      <c r="Q324" s="162"/>
      <c r="R324" s="162"/>
      <c r="S324" s="162"/>
      <c r="T324" s="162"/>
    </row>
    <row r="325" spans="3:20" s="64" customFormat="1" ht="15" customHeight="1" x14ac:dyDescent="0.2">
      <c r="C325" s="666"/>
      <c r="D325" s="666"/>
      <c r="E325" s="666"/>
      <c r="F325" s="666"/>
      <c r="G325" s="666"/>
      <c r="H325" s="666"/>
      <c r="I325" s="666"/>
      <c r="J325" s="666"/>
      <c r="K325" s="666"/>
      <c r="L325" s="666"/>
      <c r="M325" s="666"/>
      <c r="N325" s="666"/>
      <c r="O325" s="666"/>
      <c r="P325" s="666"/>
      <c r="Q325" s="162"/>
      <c r="R325" s="162"/>
      <c r="S325" s="162"/>
      <c r="T325" s="162"/>
    </row>
    <row r="326" spans="3:20" s="64" customFormat="1" ht="15" customHeight="1" x14ac:dyDescent="0.2">
      <c r="C326" s="666"/>
      <c r="D326" s="666"/>
      <c r="E326" s="666"/>
      <c r="F326" s="666"/>
      <c r="G326" s="666"/>
      <c r="H326" s="666"/>
      <c r="I326" s="666"/>
      <c r="J326" s="666"/>
      <c r="K326" s="666"/>
      <c r="L326" s="666"/>
      <c r="M326" s="666"/>
      <c r="N326" s="666"/>
      <c r="O326" s="666"/>
      <c r="P326" s="666"/>
      <c r="Q326" s="162"/>
      <c r="R326" s="162"/>
      <c r="S326" s="162"/>
      <c r="T326" s="162"/>
    </row>
    <row r="327" spans="3:20" s="64" customFormat="1" ht="15" customHeight="1" x14ac:dyDescent="0.2">
      <c r="C327" s="666"/>
      <c r="D327" s="666"/>
      <c r="E327" s="666"/>
      <c r="F327" s="666"/>
      <c r="G327" s="666"/>
      <c r="H327" s="666"/>
      <c r="I327" s="666"/>
      <c r="J327" s="666"/>
      <c r="K327" s="666"/>
      <c r="L327" s="666"/>
      <c r="M327" s="666"/>
      <c r="N327" s="666"/>
      <c r="O327" s="666"/>
      <c r="P327" s="666"/>
      <c r="Q327" s="162"/>
      <c r="R327" s="162"/>
      <c r="S327" s="162"/>
      <c r="T327" s="162"/>
    </row>
    <row r="328" spans="3:20" s="64" customFormat="1" ht="15" customHeight="1" x14ac:dyDescent="0.2">
      <c r="C328" s="666"/>
      <c r="D328" s="666"/>
      <c r="E328" s="666"/>
      <c r="F328" s="666"/>
      <c r="G328" s="666"/>
      <c r="H328" s="666"/>
      <c r="I328" s="666"/>
      <c r="J328" s="666"/>
      <c r="K328" s="666"/>
      <c r="L328" s="666"/>
      <c r="M328" s="666"/>
      <c r="N328" s="666"/>
      <c r="O328" s="666"/>
      <c r="P328" s="666"/>
      <c r="Q328" s="162"/>
      <c r="R328" s="162"/>
      <c r="S328" s="162"/>
      <c r="T328" s="162"/>
    </row>
    <row r="329" spans="3:20" s="64" customFormat="1" ht="15" customHeight="1" x14ac:dyDescent="0.2">
      <c r="C329" s="666"/>
      <c r="D329" s="666"/>
      <c r="E329" s="666"/>
      <c r="F329" s="666"/>
      <c r="G329" s="666"/>
      <c r="H329" s="666"/>
      <c r="I329" s="666"/>
      <c r="J329" s="666"/>
      <c r="K329" s="666"/>
      <c r="L329" s="666"/>
      <c r="M329" s="666"/>
      <c r="N329" s="666"/>
      <c r="O329" s="666"/>
      <c r="P329" s="666"/>
      <c r="Q329" s="162"/>
      <c r="R329" s="162"/>
      <c r="S329" s="162"/>
      <c r="T329" s="162"/>
    </row>
    <row r="330" spans="3:20" s="64" customFormat="1" ht="15" customHeight="1" x14ac:dyDescent="0.2">
      <c r="C330" s="666"/>
      <c r="D330" s="666"/>
      <c r="E330" s="666"/>
      <c r="F330" s="666"/>
      <c r="G330" s="666"/>
      <c r="H330" s="666"/>
      <c r="I330" s="666"/>
      <c r="J330" s="666"/>
      <c r="K330" s="666"/>
      <c r="L330" s="666"/>
      <c r="M330" s="666"/>
      <c r="N330" s="666"/>
      <c r="O330" s="666"/>
      <c r="P330" s="666"/>
      <c r="Q330" s="162"/>
      <c r="R330" s="162"/>
      <c r="S330" s="162"/>
      <c r="T330" s="162"/>
    </row>
    <row r="331" spans="3:20" s="64" customFormat="1" ht="15" customHeight="1" x14ac:dyDescent="0.2">
      <c r="C331" s="666"/>
      <c r="D331" s="666"/>
      <c r="E331" s="666"/>
      <c r="F331" s="666"/>
      <c r="G331" s="666"/>
      <c r="H331" s="666"/>
      <c r="I331" s="666"/>
      <c r="J331" s="666"/>
      <c r="K331" s="666"/>
      <c r="L331" s="666"/>
      <c r="M331" s="666"/>
      <c r="N331" s="666"/>
      <c r="O331" s="666"/>
      <c r="P331" s="666"/>
      <c r="Q331" s="162"/>
      <c r="R331" s="162"/>
      <c r="S331" s="162"/>
      <c r="T331" s="162"/>
    </row>
    <row r="332" spans="3:20" s="64" customFormat="1" ht="15" customHeight="1" x14ac:dyDescent="0.2">
      <c r="C332" s="666"/>
      <c r="D332" s="666"/>
      <c r="E332" s="666"/>
      <c r="F332" s="666"/>
      <c r="G332" s="666"/>
      <c r="H332" s="666"/>
      <c r="I332" s="666"/>
      <c r="J332" s="666"/>
      <c r="K332" s="666"/>
      <c r="L332" s="666"/>
      <c r="M332" s="666"/>
      <c r="N332" s="666"/>
      <c r="O332" s="666"/>
      <c r="P332" s="666"/>
      <c r="Q332" s="162"/>
      <c r="R332" s="162"/>
      <c r="S332" s="162"/>
      <c r="T332" s="162"/>
    </row>
    <row r="333" spans="3:20" s="64" customFormat="1" ht="15" customHeight="1" x14ac:dyDescent="0.2">
      <c r="C333" s="666"/>
      <c r="D333" s="666"/>
      <c r="E333" s="666"/>
      <c r="F333" s="666"/>
      <c r="G333" s="666"/>
      <c r="H333" s="666"/>
      <c r="I333" s="666"/>
      <c r="J333" s="666"/>
      <c r="K333" s="666"/>
      <c r="L333" s="666"/>
      <c r="M333" s="666"/>
      <c r="N333" s="666"/>
      <c r="O333" s="666"/>
      <c r="P333" s="666"/>
      <c r="Q333" s="162"/>
      <c r="R333" s="162"/>
      <c r="S333" s="162"/>
      <c r="T333" s="162"/>
    </row>
    <row r="334" spans="3:20" s="64" customFormat="1" ht="15" customHeight="1" x14ac:dyDescent="0.2">
      <c r="C334" s="666"/>
      <c r="D334" s="666"/>
      <c r="E334" s="666"/>
      <c r="F334" s="666"/>
      <c r="G334" s="666"/>
      <c r="H334" s="666"/>
      <c r="I334" s="666"/>
      <c r="J334" s="666"/>
      <c r="K334" s="666"/>
      <c r="L334" s="666"/>
      <c r="M334" s="666"/>
      <c r="N334" s="666"/>
      <c r="O334" s="666"/>
      <c r="P334" s="666"/>
      <c r="Q334" s="162"/>
      <c r="R334" s="162"/>
      <c r="S334" s="162"/>
      <c r="T334" s="162"/>
    </row>
    <row r="335" spans="3:20" s="64" customFormat="1" ht="15" customHeight="1" x14ac:dyDescent="0.2">
      <c r="C335" s="666"/>
      <c r="D335" s="666"/>
      <c r="E335" s="666"/>
      <c r="F335" s="666"/>
      <c r="G335" s="666"/>
      <c r="H335" s="666"/>
      <c r="I335" s="666"/>
      <c r="J335" s="666"/>
      <c r="K335" s="666"/>
      <c r="L335" s="666"/>
      <c r="M335" s="666"/>
      <c r="N335" s="666"/>
      <c r="O335" s="666"/>
      <c r="P335" s="666"/>
      <c r="Q335" s="162"/>
      <c r="R335" s="162"/>
      <c r="S335" s="162"/>
      <c r="T335" s="162"/>
    </row>
    <row r="336" spans="3:20" s="64" customFormat="1" ht="15" customHeight="1" x14ac:dyDescent="0.2">
      <c r="C336" s="666"/>
      <c r="D336" s="666"/>
      <c r="E336" s="666"/>
      <c r="F336" s="666"/>
      <c r="G336" s="666"/>
      <c r="H336" s="666"/>
      <c r="I336" s="666"/>
      <c r="J336" s="666"/>
      <c r="K336" s="666"/>
      <c r="L336" s="666"/>
      <c r="M336" s="666"/>
      <c r="N336" s="666"/>
      <c r="O336" s="666"/>
      <c r="P336" s="666"/>
      <c r="Q336" s="162"/>
      <c r="R336" s="162"/>
      <c r="S336" s="162"/>
      <c r="T336" s="162"/>
    </row>
    <row r="337" spans="3:20" s="64" customFormat="1" ht="15" customHeight="1" x14ac:dyDescent="0.2">
      <c r="C337" s="666"/>
      <c r="D337" s="666"/>
      <c r="E337" s="666"/>
      <c r="F337" s="666"/>
      <c r="G337" s="666"/>
      <c r="H337" s="666"/>
      <c r="I337" s="666"/>
      <c r="J337" s="666"/>
      <c r="K337" s="666"/>
      <c r="L337" s="666"/>
      <c r="M337" s="666"/>
      <c r="N337" s="666"/>
      <c r="O337" s="666"/>
      <c r="P337" s="666"/>
      <c r="Q337" s="162"/>
      <c r="R337" s="162"/>
      <c r="S337" s="162"/>
      <c r="T337" s="162"/>
    </row>
    <row r="338" spans="3:20" s="64" customFormat="1" ht="15" customHeight="1" x14ac:dyDescent="0.2">
      <c r="C338" s="666"/>
      <c r="D338" s="666"/>
      <c r="E338" s="666"/>
      <c r="F338" s="666"/>
      <c r="G338" s="666"/>
      <c r="H338" s="666"/>
      <c r="I338" s="666"/>
      <c r="J338" s="666"/>
      <c r="K338" s="666"/>
      <c r="L338" s="666"/>
      <c r="M338" s="666"/>
      <c r="N338" s="666"/>
      <c r="O338" s="666"/>
      <c r="P338" s="666"/>
      <c r="Q338" s="162"/>
      <c r="R338" s="162"/>
      <c r="S338" s="162"/>
      <c r="T338" s="162"/>
    </row>
    <row r="339" spans="3:20" s="64" customFormat="1" ht="15" customHeight="1" x14ac:dyDescent="0.2">
      <c r="C339" s="666"/>
      <c r="D339" s="666"/>
      <c r="E339" s="666"/>
      <c r="F339" s="666"/>
      <c r="G339" s="666"/>
      <c r="H339" s="666"/>
      <c r="I339" s="666"/>
      <c r="J339" s="666"/>
      <c r="K339" s="666"/>
      <c r="L339" s="666"/>
      <c r="M339" s="666"/>
      <c r="N339" s="666"/>
      <c r="O339" s="666"/>
      <c r="P339" s="666"/>
      <c r="Q339" s="162"/>
      <c r="R339" s="162"/>
      <c r="S339" s="162"/>
      <c r="T339" s="162"/>
    </row>
    <row r="340" spans="3:20" s="64" customFormat="1" ht="15" customHeight="1" x14ac:dyDescent="0.2">
      <c r="C340" s="666"/>
      <c r="D340" s="666"/>
      <c r="E340" s="666"/>
      <c r="F340" s="666"/>
      <c r="G340" s="666"/>
      <c r="H340" s="666"/>
      <c r="I340" s="666"/>
      <c r="J340" s="666"/>
      <c r="K340" s="666"/>
      <c r="L340" s="666"/>
      <c r="M340" s="666"/>
      <c r="N340" s="666"/>
      <c r="O340" s="666"/>
      <c r="P340" s="666"/>
      <c r="Q340" s="162"/>
      <c r="R340" s="162"/>
      <c r="S340" s="162"/>
      <c r="T340" s="162"/>
    </row>
    <row r="341" spans="3:20" s="64" customFormat="1" ht="15" customHeight="1" x14ac:dyDescent="0.2">
      <c r="C341" s="666"/>
      <c r="D341" s="666"/>
      <c r="E341" s="666"/>
      <c r="F341" s="666"/>
      <c r="G341" s="666"/>
      <c r="H341" s="666"/>
      <c r="I341" s="666"/>
      <c r="J341" s="666"/>
      <c r="K341" s="666"/>
      <c r="L341" s="666"/>
      <c r="M341" s="666"/>
      <c r="N341" s="666"/>
      <c r="O341" s="666"/>
      <c r="P341" s="666"/>
      <c r="Q341" s="162"/>
      <c r="R341" s="162"/>
      <c r="S341" s="162"/>
      <c r="T341" s="162"/>
    </row>
    <row r="342" spans="3:20" s="64" customFormat="1" ht="15" customHeight="1" x14ac:dyDescent="0.2">
      <c r="C342" s="666"/>
      <c r="D342" s="666"/>
      <c r="E342" s="666"/>
      <c r="F342" s="666"/>
      <c r="G342" s="666"/>
      <c r="H342" s="666"/>
      <c r="I342" s="666"/>
      <c r="J342" s="666"/>
      <c r="K342" s="666"/>
      <c r="L342" s="666"/>
      <c r="M342" s="666"/>
      <c r="N342" s="666"/>
      <c r="O342" s="666"/>
      <c r="P342" s="666"/>
      <c r="Q342" s="162"/>
      <c r="R342" s="162"/>
      <c r="S342" s="162"/>
      <c r="T342" s="162"/>
    </row>
    <row r="343" spans="3:20" s="64" customFormat="1" ht="15" customHeight="1" x14ac:dyDescent="0.2">
      <c r="C343" s="666"/>
      <c r="D343" s="666"/>
      <c r="E343" s="666"/>
      <c r="F343" s="666"/>
      <c r="G343" s="666"/>
      <c r="H343" s="666"/>
      <c r="I343" s="666"/>
      <c r="J343" s="666"/>
      <c r="K343" s="666"/>
      <c r="L343" s="666"/>
      <c r="M343" s="666"/>
      <c r="N343" s="666"/>
      <c r="O343" s="666"/>
      <c r="P343" s="666"/>
      <c r="Q343" s="162"/>
      <c r="R343" s="162"/>
      <c r="S343" s="162"/>
      <c r="T343" s="162"/>
    </row>
    <row r="344" spans="3:20" s="64" customFormat="1" ht="15" customHeight="1" x14ac:dyDescent="0.2">
      <c r="C344" s="666"/>
      <c r="D344" s="666"/>
      <c r="E344" s="666"/>
      <c r="F344" s="666"/>
      <c r="G344" s="666"/>
      <c r="H344" s="666"/>
      <c r="I344" s="666"/>
      <c r="J344" s="666"/>
      <c r="K344" s="666"/>
      <c r="L344" s="666"/>
      <c r="M344" s="666"/>
      <c r="N344" s="666"/>
      <c r="O344" s="666"/>
      <c r="P344" s="666"/>
      <c r="Q344" s="162"/>
      <c r="R344" s="162"/>
      <c r="S344" s="162"/>
      <c r="T344" s="162"/>
    </row>
    <row r="345" spans="3:20" s="64" customFormat="1" ht="15" customHeight="1" x14ac:dyDescent="0.2">
      <c r="C345" s="666"/>
      <c r="D345" s="666"/>
      <c r="E345" s="666"/>
      <c r="F345" s="666"/>
      <c r="G345" s="666"/>
      <c r="H345" s="666"/>
      <c r="I345" s="666"/>
      <c r="J345" s="666"/>
      <c r="K345" s="666"/>
      <c r="L345" s="666"/>
      <c r="M345" s="666"/>
      <c r="N345" s="666"/>
      <c r="O345" s="666"/>
      <c r="P345" s="666"/>
      <c r="Q345" s="162"/>
      <c r="R345" s="162"/>
      <c r="S345" s="162"/>
      <c r="T345" s="162"/>
    </row>
    <row r="346" spans="3:20" s="64" customFormat="1" ht="15" customHeight="1" x14ac:dyDescent="0.2">
      <c r="C346" s="666"/>
      <c r="D346" s="666"/>
      <c r="E346" s="666"/>
      <c r="F346" s="666"/>
      <c r="G346" s="666"/>
      <c r="H346" s="666"/>
      <c r="I346" s="666"/>
      <c r="J346" s="666"/>
      <c r="K346" s="666"/>
      <c r="L346" s="666"/>
      <c r="M346" s="666"/>
      <c r="N346" s="666"/>
      <c r="O346" s="666"/>
      <c r="P346" s="666"/>
      <c r="Q346" s="162"/>
      <c r="R346" s="162"/>
      <c r="S346" s="162"/>
      <c r="T346" s="162"/>
    </row>
    <row r="347" spans="3:20" s="64" customFormat="1" ht="15" customHeight="1" x14ac:dyDescent="0.2">
      <c r="C347" s="666"/>
      <c r="D347" s="666"/>
      <c r="E347" s="666"/>
      <c r="F347" s="666"/>
      <c r="G347" s="666"/>
      <c r="H347" s="666"/>
      <c r="I347" s="666"/>
      <c r="J347" s="666"/>
      <c r="K347" s="666"/>
      <c r="L347" s="666"/>
      <c r="M347" s="666"/>
      <c r="N347" s="666"/>
      <c r="O347" s="666"/>
      <c r="P347" s="666"/>
      <c r="Q347" s="162"/>
      <c r="R347" s="162"/>
      <c r="S347" s="162"/>
      <c r="T347" s="162"/>
    </row>
    <row r="348" spans="3:20" s="64" customFormat="1" ht="15" customHeight="1" x14ac:dyDescent="0.2">
      <c r="C348" s="666"/>
      <c r="D348" s="666"/>
      <c r="E348" s="666"/>
      <c r="F348" s="666"/>
      <c r="G348" s="666"/>
      <c r="H348" s="666"/>
      <c r="I348" s="666"/>
      <c r="J348" s="666"/>
      <c r="K348" s="666"/>
      <c r="L348" s="666"/>
      <c r="M348" s="666"/>
      <c r="N348" s="666"/>
      <c r="O348" s="666"/>
      <c r="P348" s="666"/>
      <c r="Q348" s="162"/>
      <c r="R348" s="162"/>
      <c r="S348" s="162"/>
      <c r="T348" s="162"/>
    </row>
    <row r="349" spans="3:20" s="64" customFormat="1" ht="15" customHeight="1" x14ac:dyDescent="0.2">
      <c r="C349" s="666"/>
      <c r="D349" s="666"/>
      <c r="E349" s="666"/>
      <c r="F349" s="666"/>
      <c r="G349" s="666"/>
      <c r="H349" s="666"/>
      <c r="I349" s="666"/>
      <c r="J349" s="666"/>
      <c r="K349" s="666"/>
      <c r="L349" s="666"/>
      <c r="M349" s="666"/>
      <c r="N349" s="666"/>
      <c r="O349" s="666"/>
      <c r="P349" s="666"/>
      <c r="Q349" s="162"/>
      <c r="R349" s="162"/>
      <c r="S349" s="162"/>
      <c r="T349" s="162"/>
    </row>
    <row r="350" spans="3:20" s="64" customFormat="1" ht="15" customHeight="1" x14ac:dyDescent="0.2">
      <c r="C350" s="666"/>
      <c r="D350" s="666"/>
      <c r="E350" s="666"/>
      <c r="F350" s="666"/>
      <c r="G350" s="666"/>
      <c r="H350" s="666"/>
      <c r="I350" s="666"/>
      <c r="J350" s="666"/>
      <c r="K350" s="666"/>
      <c r="L350" s="666"/>
      <c r="M350" s="666"/>
      <c r="N350" s="666"/>
      <c r="O350" s="666"/>
      <c r="P350" s="666"/>
      <c r="Q350" s="162"/>
      <c r="R350" s="162"/>
      <c r="S350" s="162"/>
      <c r="T350" s="162"/>
    </row>
    <row r="351" spans="3:20" s="64" customFormat="1" ht="15" customHeight="1" x14ac:dyDescent="0.2">
      <c r="C351" s="666"/>
      <c r="D351" s="666"/>
      <c r="E351" s="666"/>
      <c r="F351" s="666"/>
      <c r="G351" s="666"/>
      <c r="H351" s="666"/>
      <c r="I351" s="666"/>
      <c r="J351" s="666"/>
      <c r="K351" s="666"/>
      <c r="L351" s="666"/>
      <c r="M351" s="666"/>
      <c r="N351" s="666"/>
      <c r="O351" s="666"/>
      <c r="P351" s="666"/>
      <c r="Q351" s="162"/>
      <c r="R351" s="162"/>
      <c r="S351" s="162"/>
      <c r="T351" s="162"/>
    </row>
    <row r="352" spans="3:20" s="64" customFormat="1" ht="15" customHeight="1" x14ac:dyDescent="0.2">
      <c r="C352" s="666"/>
      <c r="D352" s="666"/>
      <c r="E352" s="666"/>
      <c r="F352" s="666"/>
      <c r="G352" s="666"/>
      <c r="H352" s="666"/>
      <c r="I352" s="666"/>
      <c r="J352" s="666"/>
      <c r="K352" s="666"/>
      <c r="L352" s="666"/>
      <c r="M352" s="666"/>
      <c r="N352" s="666"/>
      <c r="O352" s="666"/>
      <c r="P352" s="666"/>
      <c r="Q352" s="162"/>
      <c r="R352" s="162"/>
      <c r="S352" s="162"/>
      <c r="T352" s="162"/>
    </row>
    <row r="353" spans="3:20" s="64" customFormat="1" ht="15" customHeight="1" x14ac:dyDescent="0.2">
      <c r="C353" s="666"/>
      <c r="D353" s="666"/>
      <c r="E353" s="666"/>
      <c r="F353" s="666"/>
      <c r="G353" s="666"/>
      <c r="H353" s="666"/>
      <c r="I353" s="666"/>
      <c r="J353" s="666"/>
      <c r="K353" s="666"/>
      <c r="L353" s="666"/>
      <c r="M353" s="666"/>
      <c r="N353" s="666"/>
      <c r="O353" s="666"/>
      <c r="P353" s="666"/>
      <c r="Q353" s="162"/>
      <c r="R353" s="162"/>
      <c r="S353" s="162"/>
      <c r="T353" s="162"/>
    </row>
    <row r="354" spans="3:20" s="64" customFormat="1" ht="15" customHeight="1" x14ac:dyDescent="0.2">
      <c r="C354" s="666"/>
      <c r="D354" s="666"/>
      <c r="E354" s="666"/>
      <c r="F354" s="666"/>
      <c r="G354" s="666"/>
      <c r="H354" s="666"/>
      <c r="I354" s="666"/>
      <c r="J354" s="666"/>
      <c r="K354" s="666"/>
      <c r="L354" s="666"/>
      <c r="M354" s="666"/>
      <c r="N354" s="666"/>
      <c r="O354" s="666"/>
      <c r="P354" s="666"/>
      <c r="Q354" s="162"/>
      <c r="R354" s="162"/>
      <c r="S354" s="162"/>
      <c r="T354" s="162"/>
    </row>
    <row r="355" spans="3:20" s="64" customFormat="1" ht="15" customHeight="1" x14ac:dyDescent="0.2">
      <c r="C355" s="666"/>
      <c r="D355" s="666"/>
      <c r="E355" s="666"/>
      <c r="F355" s="666"/>
      <c r="G355" s="666"/>
      <c r="H355" s="666"/>
      <c r="I355" s="666"/>
      <c r="J355" s="666"/>
      <c r="K355" s="666"/>
      <c r="L355" s="666"/>
      <c r="M355" s="666"/>
      <c r="N355" s="666"/>
      <c r="O355" s="666"/>
      <c r="P355" s="666"/>
      <c r="Q355" s="162"/>
      <c r="R355" s="162"/>
      <c r="S355" s="162"/>
      <c r="T355" s="162"/>
    </row>
    <row r="356" spans="3:20" s="64" customFormat="1" ht="15" customHeight="1" x14ac:dyDescent="0.2">
      <c r="C356" s="666"/>
      <c r="D356" s="666"/>
      <c r="E356" s="666"/>
      <c r="F356" s="666"/>
      <c r="G356" s="666"/>
      <c r="H356" s="666"/>
      <c r="I356" s="666"/>
      <c r="J356" s="666"/>
      <c r="K356" s="666"/>
      <c r="L356" s="666"/>
      <c r="M356" s="666"/>
      <c r="N356" s="666"/>
      <c r="O356" s="666"/>
      <c r="P356" s="666"/>
      <c r="Q356" s="162"/>
      <c r="R356" s="162"/>
      <c r="S356" s="162"/>
      <c r="T356" s="162"/>
    </row>
    <row r="357" spans="3:20" s="64" customFormat="1" ht="15" customHeight="1" x14ac:dyDescent="0.2">
      <c r="C357" s="666"/>
      <c r="D357" s="666"/>
      <c r="E357" s="666"/>
      <c r="F357" s="666"/>
      <c r="G357" s="666"/>
      <c r="H357" s="666"/>
      <c r="I357" s="666"/>
      <c r="J357" s="666"/>
      <c r="K357" s="666"/>
      <c r="L357" s="666"/>
      <c r="M357" s="666"/>
      <c r="N357" s="666"/>
      <c r="O357" s="666"/>
      <c r="P357" s="666"/>
      <c r="Q357" s="162"/>
      <c r="R357" s="162"/>
      <c r="S357" s="162"/>
      <c r="T357" s="162"/>
    </row>
    <row r="358" spans="3:20" s="64" customFormat="1" ht="15" customHeight="1" x14ac:dyDescent="0.2">
      <c r="C358" s="666"/>
      <c r="D358" s="666"/>
      <c r="E358" s="666"/>
      <c r="F358" s="666"/>
      <c r="G358" s="666"/>
      <c r="H358" s="666"/>
      <c r="I358" s="666"/>
      <c r="J358" s="666"/>
      <c r="K358" s="666"/>
      <c r="L358" s="666"/>
      <c r="M358" s="666"/>
      <c r="N358" s="666"/>
      <c r="O358" s="666"/>
      <c r="P358" s="666"/>
      <c r="Q358" s="162"/>
      <c r="R358" s="162"/>
      <c r="S358" s="162"/>
      <c r="T358" s="162"/>
    </row>
    <row r="359" spans="3:20" s="64" customFormat="1" ht="15" customHeight="1" x14ac:dyDescent="0.2">
      <c r="C359" s="666"/>
      <c r="D359" s="666"/>
      <c r="E359" s="666"/>
      <c r="F359" s="666"/>
      <c r="G359" s="666"/>
      <c r="H359" s="666"/>
      <c r="I359" s="666"/>
      <c r="J359" s="666"/>
      <c r="K359" s="666"/>
      <c r="L359" s="666"/>
      <c r="M359" s="666"/>
      <c r="N359" s="666"/>
      <c r="O359" s="666"/>
      <c r="P359" s="666"/>
      <c r="Q359" s="162"/>
      <c r="R359" s="162"/>
      <c r="S359" s="162"/>
      <c r="T359" s="162"/>
    </row>
    <row r="360" spans="3:20" s="64" customFormat="1" ht="15" customHeight="1" x14ac:dyDescent="0.2">
      <c r="C360" s="666"/>
      <c r="D360" s="666"/>
      <c r="E360" s="666"/>
      <c r="F360" s="666"/>
      <c r="G360" s="666"/>
      <c r="H360" s="666"/>
      <c r="I360" s="666"/>
      <c r="J360" s="666"/>
      <c r="K360" s="666"/>
      <c r="L360" s="666"/>
      <c r="M360" s="666"/>
      <c r="N360" s="666"/>
      <c r="O360" s="666"/>
      <c r="P360" s="666"/>
      <c r="Q360" s="162"/>
      <c r="R360" s="162"/>
      <c r="S360" s="162"/>
      <c r="T360" s="162"/>
    </row>
    <row r="361" spans="3:20" s="64" customFormat="1" ht="15" customHeight="1" x14ac:dyDescent="0.2">
      <c r="C361" s="666"/>
      <c r="D361" s="666"/>
      <c r="E361" s="666"/>
      <c r="F361" s="666"/>
      <c r="G361" s="666"/>
      <c r="H361" s="666"/>
      <c r="I361" s="666"/>
      <c r="J361" s="666"/>
      <c r="K361" s="666"/>
      <c r="L361" s="666"/>
      <c r="M361" s="666"/>
      <c r="N361" s="666"/>
      <c r="O361" s="666"/>
      <c r="P361" s="666"/>
      <c r="Q361" s="162"/>
      <c r="R361" s="162"/>
      <c r="S361" s="162"/>
      <c r="T361" s="162"/>
    </row>
    <row r="362" spans="3:20" s="64" customFormat="1" ht="15" customHeight="1" x14ac:dyDescent="0.2">
      <c r="C362" s="666"/>
      <c r="D362" s="666"/>
      <c r="E362" s="666"/>
      <c r="F362" s="666"/>
      <c r="G362" s="666"/>
      <c r="H362" s="666"/>
      <c r="I362" s="666"/>
      <c r="J362" s="666"/>
      <c r="K362" s="666"/>
      <c r="L362" s="666"/>
      <c r="M362" s="666"/>
      <c r="N362" s="666"/>
      <c r="O362" s="666"/>
      <c r="P362" s="666"/>
      <c r="Q362" s="162"/>
      <c r="R362" s="162"/>
      <c r="S362" s="162"/>
      <c r="T362" s="162"/>
    </row>
    <row r="363" spans="3:20" s="64" customFormat="1" ht="15" customHeight="1" x14ac:dyDescent="0.2">
      <c r="C363" s="666"/>
      <c r="D363" s="666"/>
      <c r="E363" s="666"/>
      <c r="F363" s="666"/>
      <c r="G363" s="666"/>
      <c r="H363" s="666"/>
      <c r="I363" s="666"/>
      <c r="J363" s="666"/>
      <c r="K363" s="666"/>
      <c r="L363" s="666"/>
      <c r="M363" s="666"/>
      <c r="N363" s="666"/>
      <c r="O363" s="666"/>
      <c r="P363" s="666"/>
      <c r="Q363" s="162"/>
      <c r="R363" s="162"/>
      <c r="S363" s="162"/>
      <c r="T363" s="162"/>
    </row>
    <row r="364" spans="3:20" s="64" customFormat="1" ht="15" customHeight="1" x14ac:dyDescent="0.2">
      <c r="C364" s="666"/>
      <c r="D364" s="666"/>
      <c r="E364" s="666"/>
      <c r="F364" s="666"/>
      <c r="G364" s="666"/>
      <c r="H364" s="666"/>
      <c r="I364" s="666"/>
      <c r="J364" s="666"/>
      <c r="K364" s="666"/>
      <c r="L364" s="666"/>
      <c r="M364" s="666"/>
      <c r="N364" s="666"/>
      <c r="O364" s="666"/>
      <c r="P364" s="666"/>
      <c r="Q364" s="162"/>
      <c r="R364" s="162"/>
      <c r="S364" s="162"/>
      <c r="T364" s="162"/>
    </row>
    <row r="365" spans="3:20" s="64" customFormat="1" ht="15" customHeight="1" x14ac:dyDescent="0.2">
      <c r="C365" s="666"/>
      <c r="D365" s="666"/>
      <c r="E365" s="666"/>
      <c r="F365" s="666"/>
      <c r="G365" s="666"/>
      <c r="H365" s="666"/>
      <c r="I365" s="666"/>
      <c r="J365" s="666"/>
      <c r="K365" s="666"/>
      <c r="L365" s="666"/>
      <c r="M365" s="666"/>
      <c r="N365" s="666"/>
      <c r="O365" s="666"/>
      <c r="P365" s="666"/>
      <c r="Q365" s="162"/>
      <c r="R365" s="162"/>
      <c r="S365" s="162"/>
      <c r="T365" s="162"/>
    </row>
    <row r="366" spans="3:20" s="64" customFormat="1" ht="15" customHeight="1" x14ac:dyDescent="0.2">
      <c r="C366" s="666"/>
      <c r="D366" s="666"/>
      <c r="E366" s="666"/>
      <c r="F366" s="666"/>
      <c r="G366" s="666"/>
      <c r="H366" s="666"/>
      <c r="I366" s="666"/>
      <c r="J366" s="666"/>
      <c r="K366" s="666"/>
      <c r="L366" s="666"/>
      <c r="M366" s="666"/>
      <c r="N366" s="666"/>
      <c r="O366" s="666"/>
      <c r="P366" s="666"/>
      <c r="Q366" s="162"/>
      <c r="R366" s="162"/>
      <c r="S366" s="162"/>
      <c r="T366" s="162"/>
    </row>
    <row r="367" spans="3:20" s="64" customFormat="1" ht="15" customHeight="1" x14ac:dyDescent="0.2">
      <c r="C367" s="666"/>
      <c r="D367" s="666"/>
      <c r="E367" s="666"/>
      <c r="F367" s="666"/>
      <c r="G367" s="666"/>
      <c r="H367" s="666"/>
      <c r="I367" s="666"/>
      <c r="J367" s="666"/>
      <c r="K367" s="666"/>
      <c r="L367" s="666"/>
      <c r="M367" s="666"/>
      <c r="N367" s="666"/>
      <c r="O367" s="666"/>
      <c r="P367" s="666"/>
      <c r="Q367" s="162"/>
      <c r="R367" s="162"/>
      <c r="S367" s="162"/>
      <c r="T367" s="162"/>
    </row>
    <row r="368" spans="3:20" s="64" customFormat="1" ht="15" customHeight="1" x14ac:dyDescent="0.2">
      <c r="C368" s="666"/>
      <c r="D368" s="666"/>
      <c r="E368" s="666"/>
      <c r="F368" s="666"/>
      <c r="G368" s="666"/>
      <c r="H368" s="666"/>
      <c r="I368" s="666"/>
      <c r="J368" s="666"/>
      <c r="K368" s="666"/>
      <c r="L368" s="666"/>
      <c r="M368" s="666"/>
      <c r="N368" s="666"/>
      <c r="O368" s="666"/>
      <c r="P368" s="666"/>
      <c r="Q368" s="162"/>
      <c r="R368" s="162"/>
      <c r="S368" s="162"/>
      <c r="T368" s="162"/>
    </row>
    <row r="369" spans="3:20" s="64" customFormat="1" ht="15" customHeight="1" x14ac:dyDescent="0.2">
      <c r="C369" s="666"/>
      <c r="D369" s="666"/>
      <c r="E369" s="666"/>
      <c r="F369" s="666"/>
      <c r="G369" s="666"/>
      <c r="H369" s="666"/>
      <c r="I369" s="666"/>
      <c r="J369" s="666"/>
      <c r="K369" s="666"/>
      <c r="L369" s="666"/>
      <c r="M369" s="666"/>
      <c r="N369" s="666"/>
      <c r="O369" s="666"/>
      <c r="P369" s="666"/>
      <c r="Q369" s="162"/>
      <c r="R369" s="162"/>
      <c r="S369" s="162"/>
      <c r="T369" s="162"/>
    </row>
    <row r="370" spans="3:20" s="64" customFormat="1" ht="15" customHeight="1" x14ac:dyDescent="0.2">
      <c r="C370" s="666"/>
      <c r="D370" s="666"/>
      <c r="E370" s="666"/>
      <c r="F370" s="666"/>
      <c r="G370" s="666"/>
      <c r="H370" s="666"/>
      <c r="I370" s="666"/>
      <c r="J370" s="666"/>
      <c r="K370" s="666"/>
      <c r="L370" s="666"/>
      <c r="M370" s="666"/>
      <c r="N370" s="666"/>
      <c r="O370" s="666"/>
      <c r="P370" s="666"/>
      <c r="Q370" s="162"/>
      <c r="R370" s="162"/>
      <c r="S370" s="162"/>
      <c r="T370" s="162"/>
    </row>
    <row r="371" spans="3:20" s="64" customFormat="1" ht="15" customHeight="1" x14ac:dyDescent="0.2">
      <c r="C371" s="666"/>
      <c r="D371" s="666"/>
      <c r="E371" s="666"/>
      <c r="F371" s="666"/>
      <c r="G371" s="666"/>
      <c r="H371" s="666"/>
      <c r="I371" s="666"/>
      <c r="J371" s="666"/>
      <c r="K371" s="666"/>
      <c r="L371" s="666"/>
      <c r="M371" s="666"/>
      <c r="N371" s="666"/>
      <c r="O371" s="666"/>
      <c r="P371" s="666"/>
      <c r="Q371" s="162"/>
      <c r="R371" s="162"/>
      <c r="S371" s="162"/>
      <c r="T371" s="162"/>
    </row>
    <row r="372" spans="3:20" s="64" customFormat="1" ht="15" customHeight="1" x14ac:dyDescent="0.2">
      <c r="C372" s="666"/>
      <c r="D372" s="666"/>
      <c r="E372" s="666"/>
      <c r="F372" s="666"/>
      <c r="G372" s="666"/>
      <c r="H372" s="666"/>
      <c r="I372" s="666"/>
      <c r="J372" s="666"/>
      <c r="K372" s="666"/>
      <c r="L372" s="666"/>
      <c r="M372" s="666"/>
      <c r="N372" s="666"/>
      <c r="O372" s="666"/>
      <c r="P372" s="666"/>
      <c r="Q372" s="162"/>
      <c r="R372" s="162"/>
      <c r="S372" s="162"/>
      <c r="T372" s="162"/>
    </row>
    <row r="373" spans="3:20" s="64" customFormat="1" ht="15" customHeight="1" x14ac:dyDescent="0.2">
      <c r="C373" s="666"/>
      <c r="D373" s="666"/>
      <c r="E373" s="666"/>
      <c r="F373" s="666"/>
      <c r="G373" s="666"/>
      <c r="H373" s="666"/>
      <c r="I373" s="666"/>
      <c r="J373" s="666"/>
      <c r="K373" s="666"/>
      <c r="L373" s="666"/>
      <c r="M373" s="666"/>
      <c r="N373" s="666"/>
      <c r="O373" s="666"/>
      <c r="P373" s="666"/>
      <c r="Q373" s="162"/>
      <c r="R373" s="162"/>
      <c r="S373" s="162"/>
      <c r="T373" s="162"/>
    </row>
    <row r="374" spans="3:20" s="64" customFormat="1" ht="15" customHeight="1" x14ac:dyDescent="0.2">
      <c r="C374" s="666"/>
      <c r="D374" s="666"/>
      <c r="E374" s="666"/>
      <c r="F374" s="666"/>
      <c r="G374" s="666"/>
      <c r="H374" s="666"/>
      <c r="I374" s="666"/>
      <c r="J374" s="666"/>
      <c r="K374" s="666"/>
      <c r="L374" s="666"/>
      <c r="M374" s="666"/>
      <c r="N374" s="666"/>
      <c r="O374" s="666"/>
      <c r="P374" s="666"/>
      <c r="Q374" s="162"/>
      <c r="R374" s="162"/>
      <c r="S374" s="162"/>
      <c r="T374" s="162"/>
    </row>
    <row r="375" spans="3:20" s="64" customFormat="1" ht="15" customHeight="1" x14ac:dyDescent="0.2">
      <c r="C375" s="666"/>
      <c r="D375" s="666"/>
      <c r="E375" s="666"/>
      <c r="F375" s="666"/>
      <c r="G375" s="666"/>
      <c r="H375" s="666"/>
      <c r="I375" s="666"/>
      <c r="J375" s="666"/>
      <c r="K375" s="666"/>
      <c r="L375" s="666"/>
      <c r="M375" s="666"/>
      <c r="N375" s="666"/>
      <c r="O375" s="666"/>
      <c r="P375" s="666"/>
      <c r="Q375" s="162"/>
      <c r="R375" s="162"/>
      <c r="S375" s="162"/>
      <c r="T375" s="162"/>
    </row>
    <row r="376" spans="3:20" s="64" customFormat="1" ht="15" customHeight="1" x14ac:dyDescent="0.2">
      <c r="C376" s="666"/>
      <c r="D376" s="666"/>
      <c r="E376" s="666"/>
      <c r="F376" s="666"/>
      <c r="G376" s="666"/>
      <c r="H376" s="666"/>
      <c r="I376" s="666"/>
      <c r="J376" s="666"/>
      <c r="K376" s="666"/>
      <c r="L376" s="666"/>
      <c r="M376" s="666"/>
      <c r="N376" s="666"/>
      <c r="O376" s="666"/>
      <c r="P376" s="666"/>
      <c r="Q376" s="162"/>
      <c r="R376" s="162"/>
      <c r="S376" s="162"/>
      <c r="T376" s="162"/>
    </row>
    <row r="377" spans="3:20" s="64" customFormat="1" ht="15" customHeight="1" x14ac:dyDescent="0.2">
      <c r="C377" s="666"/>
      <c r="D377" s="666"/>
      <c r="E377" s="666"/>
      <c r="F377" s="666"/>
      <c r="G377" s="666"/>
      <c r="H377" s="666"/>
      <c r="I377" s="666"/>
      <c r="J377" s="666"/>
      <c r="K377" s="666"/>
      <c r="L377" s="666"/>
      <c r="M377" s="666"/>
      <c r="N377" s="666"/>
      <c r="O377" s="666"/>
      <c r="P377" s="666"/>
      <c r="Q377" s="162"/>
      <c r="R377" s="162"/>
      <c r="S377" s="162"/>
      <c r="T377" s="162"/>
    </row>
    <row r="378" spans="3:20" s="64" customFormat="1" ht="15" customHeight="1" x14ac:dyDescent="0.2">
      <c r="C378" s="666"/>
      <c r="D378" s="666"/>
      <c r="E378" s="666"/>
      <c r="F378" s="666"/>
      <c r="G378" s="666"/>
      <c r="H378" s="666"/>
      <c r="I378" s="666"/>
      <c r="J378" s="666"/>
      <c r="K378" s="666"/>
      <c r="L378" s="666"/>
      <c r="M378" s="666"/>
      <c r="N378" s="666"/>
      <c r="O378" s="666"/>
      <c r="P378" s="666"/>
      <c r="Q378" s="162"/>
      <c r="R378" s="162"/>
      <c r="S378" s="162"/>
      <c r="T378" s="162"/>
    </row>
    <row r="379" spans="3:20" s="64" customFormat="1" ht="15" customHeight="1" x14ac:dyDescent="0.2">
      <c r="C379" s="666"/>
      <c r="D379" s="666"/>
      <c r="E379" s="666"/>
      <c r="F379" s="666"/>
      <c r="G379" s="666"/>
      <c r="H379" s="666"/>
      <c r="I379" s="666"/>
      <c r="J379" s="666"/>
      <c r="K379" s="666"/>
      <c r="L379" s="666"/>
      <c r="M379" s="666"/>
      <c r="N379" s="666"/>
      <c r="O379" s="666"/>
      <c r="P379" s="666"/>
      <c r="Q379" s="162"/>
      <c r="R379" s="162"/>
      <c r="S379" s="162"/>
      <c r="T379" s="162"/>
    </row>
    <row r="380" spans="3:20" s="64" customFormat="1" ht="15" customHeight="1" x14ac:dyDescent="0.2">
      <c r="C380" s="666"/>
      <c r="D380" s="666"/>
      <c r="E380" s="666"/>
      <c r="F380" s="666"/>
      <c r="G380" s="666"/>
      <c r="H380" s="666"/>
      <c r="I380" s="666"/>
      <c r="J380" s="666"/>
      <c r="K380" s="666"/>
      <c r="L380" s="666"/>
      <c r="M380" s="666"/>
      <c r="N380" s="666"/>
      <c r="O380" s="666"/>
      <c r="P380" s="666"/>
      <c r="Q380" s="162"/>
      <c r="R380" s="162"/>
      <c r="S380" s="162"/>
      <c r="T380" s="162"/>
    </row>
    <row r="381" spans="3:20" s="64" customFormat="1" ht="15" customHeight="1" x14ac:dyDescent="0.2">
      <c r="C381" s="666"/>
      <c r="D381" s="666"/>
      <c r="E381" s="666"/>
      <c r="F381" s="666"/>
      <c r="G381" s="666"/>
      <c r="H381" s="666"/>
      <c r="I381" s="666"/>
      <c r="J381" s="666"/>
      <c r="K381" s="666"/>
      <c r="L381" s="666"/>
      <c r="M381" s="666"/>
      <c r="N381" s="666"/>
      <c r="O381" s="666"/>
      <c r="P381" s="666"/>
      <c r="Q381" s="162"/>
      <c r="R381" s="162"/>
      <c r="S381" s="162"/>
      <c r="T381" s="162"/>
    </row>
    <row r="382" spans="3:20" s="64" customFormat="1" ht="15" customHeight="1" x14ac:dyDescent="0.2">
      <c r="C382" s="666"/>
      <c r="D382" s="666"/>
      <c r="E382" s="666"/>
      <c r="F382" s="666"/>
      <c r="G382" s="666"/>
      <c r="H382" s="666"/>
      <c r="I382" s="666"/>
      <c r="J382" s="666"/>
      <c r="K382" s="666"/>
      <c r="L382" s="666"/>
      <c r="M382" s="666"/>
      <c r="N382" s="666"/>
      <c r="O382" s="666"/>
      <c r="P382" s="666"/>
      <c r="Q382" s="162"/>
      <c r="R382" s="162"/>
      <c r="S382" s="162"/>
      <c r="T382" s="162"/>
    </row>
    <row r="383" spans="3:20" s="64" customFormat="1" ht="15" customHeight="1" x14ac:dyDescent="0.2">
      <c r="C383" s="666"/>
      <c r="D383" s="666"/>
      <c r="E383" s="666"/>
      <c r="F383" s="666"/>
      <c r="G383" s="666"/>
      <c r="H383" s="666"/>
      <c r="I383" s="666"/>
      <c r="J383" s="666"/>
      <c r="K383" s="666"/>
      <c r="L383" s="666"/>
      <c r="M383" s="666"/>
      <c r="N383" s="666"/>
      <c r="O383" s="666"/>
      <c r="P383" s="666"/>
      <c r="Q383" s="162"/>
      <c r="R383" s="162"/>
      <c r="S383" s="162"/>
      <c r="T383" s="162"/>
    </row>
    <row r="384" spans="3:20" s="64" customFormat="1" ht="15" customHeight="1" x14ac:dyDescent="0.2">
      <c r="C384" s="666"/>
      <c r="D384" s="666"/>
      <c r="E384" s="666"/>
      <c r="F384" s="666"/>
      <c r="G384" s="666"/>
      <c r="H384" s="666"/>
      <c r="I384" s="666"/>
      <c r="J384" s="666"/>
      <c r="K384" s="666"/>
      <c r="L384" s="666"/>
      <c r="M384" s="666"/>
      <c r="N384" s="666"/>
      <c r="O384" s="666"/>
      <c r="P384" s="666"/>
      <c r="Q384" s="162"/>
      <c r="R384" s="162"/>
      <c r="S384" s="162"/>
      <c r="T384" s="162"/>
    </row>
    <row r="385" spans="3:20" s="64" customFormat="1" ht="15" customHeight="1" x14ac:dyDescent="0.2">
      <c r="C385" s="666"/>
      <c r="D385" s="666"/>
      <c r="E385" s="666"/>
      <c r="F385" s="666"/>
      <c r="G385" s="666"/>
      <c r="H385" s="666"/>
      <c r="I385" s="666"/>
      <c r="J385" s="666"/>
      <c r="K385" s="666"/>
      <c r="L385" s="666"/>
      <c r="M385" s="666"/>
      <c r="N385" s="666"/>
      <c r="O385" s="666"/>
      <c r="P385" s="666"/>
      <c r="Q385" s="162"/>
      <c r="R385" s="162"/>
      <c r="S385" s="162"/>
      <c r="T385" s="162"/>
    </row>
    <row r="386" spans="3:20" s="64" customFormat="1" ht="15" customHeight="1" x14ac:dyDescent="0.2">
      <c r="C386" s="666"/>
      <c r="D386" s="666"/>
      <c r="E386" s="666"/>
      <c r="F386" s="666"/>
      <c r="G386" s="666"/>
      <c r="H386" s="666"/>
      <c r="I386" s="666"/>
      <c r="J386" s="666"/>
      <c r="K386" s="666"/>
      <c r="L386" s="666"/>
      <c r="M386" s="666"/>
      <c r="N386" s="666"/>
      <c r="O386" s="666"/>
      <c r="P386" s="666"/>
      <c r="Q386" s="162"/>
      <c r="R386" s="162"/>
      <c r="S386" s="162"/>
      <c r="T386" s="162"/>
    </row>
    <row r="387" spans="3:20" s="64" customFormat="1" ht="15" customHeight="1" x14ac:dyDescent="0.2">
      <c r="C387" s="666"/>
      <c r="D387" s="666"/>
      <c r="E387" s="666"/>
      <c r="F387" s="666"/>
      <c r="G387" s="666"/>
      <c r="H387" s="666"/>
      <c r="I387" s="666"/>
      <c r="J387" s="666"/>
      <c r="K387" s="666"/>
      <c r="L387" s="666"/>
      <c r="M387" s="666"/>
      <c r="N387" s="666"/>
      <c r="O387" s="666"/>
      <c r="P387" s="666"/>
      <c r="Q387" s="162"/>
      <c r="R387" s="162"/>
      <c r="S387" s="162"/>
      <c r="T387" s="162"/>
    </row>
    <row r="388" spans="3:20" s="64" customFormat="1" ht="15" customHeight="1" x14ac:dyDescent="0.2">
      <c r="C388" s="666"/>
      <c r="D388" s="666"/>
      <c r="E388" s="666"/>
      <c r="F388" s="666"/>
      <c r="G388" s="666"/>
      <c r="H388" s="666"/>
      <c r="I388" s="666"/>
      <c r="J388" s="666"/>
      <c r="K388" s="666"/>
      <c r="L388" s="666"/>
      <c r="M388" s="666"/>
      <c r="N388" s="666"/>
      <c r="O388" s="666"/>
      <c r="P388" s="666"/>
      <c r="Q388" s="162"/>
      <c r="R388" s="162"/>
      <c r="S388" s="162"/>
      <c r="T388" s="162"/>
    </row>
    <row r="389" spans="3:20" s="64" customFormat="1" ht="15" customHeight="1" x14ac:dyDescent="0.2">
      <c r="C389" s="666"/>
      <c r="D389" s="666"/>
      <c r="E389" s="666"/>
      <c r="F389" s="666"/>
      <c r="G389" s="666"/>
      <c r="H389" s="666"/>
      <c r="I389" s="666"/>
      <c r="J389" s="666"/>
      <c r="K389" s="666"/>
      <c r="L389" s="666"/>
      <c r="M389" s="666"/>
      <c r="N389" s="666"/>
      <c r="O389" s="666"/>
      <c r="P389" s="666"/>
      <c r="Q389" s="162"/>
      <c r="R389" s="162"/>
      <c r="S389" s="162"/>
      <c r="T389" s="162"/>
    </row>
    <row r="390" spans="3:20" s="64" customFormat="1" ht="15" customHeight="1" x14ac:dyDescent="0.2">
      <c r="C390" s="666"/>
      <c r="D390" s="666"/>
      <c r="E390" s="666"/>
      <c r="F390" s="666"/>
      <c r="G390" s="666"/>
      <c r="H390" s="666"/>
      <c r="I390" s="666"/>
      <c r="J390" s="666"/>
      <c r="K390" s="666"/>
      <c r="L390" s="666"/>
      <c r="M390" s="666"/>
      <c r="N390" s="666"/>
      <c r="O390" s="666"/>
      <c r="P390" s="666"/>
      <c r="Q390" s="162"/>
      <c r="R390" s="162"/>
      <c r="S390" s="162"/>
      <c r="T390" s="162"/>
    </row>
    <row r="391" spans="3:20" x14ac:dyDescent="0.2"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</row>
    <row r="392" spans="3:20" x14ac:dyDescent="0.2"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</row>
    <row r="393" spans="3:20" x14ac:dyDescent="0.2"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</row>
    <row r="394" spans="3:20" x14ac:dyDescent="0.2"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</row>
    <row r="395" spans="3:20" x14ac:dyDescent="0.2"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</row>
    <row r="396" spans="3:20" x14ac:dyDescent="0.2"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</row>
    <row r="397" spans="3:20" x14ac:dyDescent="0.2">
      <c r="C397" s="160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</row>
    <row r="398" spans="3:20" x14ac:dyDescent="0.2">
      <c r="C398" s="160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</row>
    <row r="399" spans="3:20" x14ac:dyDescent="0.2">
      <c r="C399" s="160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</row>
    <row r="400" spans="3:20" x14ac:dyDescent="0.2">
      <c r="C400" s="160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</row>
    <row r="401" spans="3:16" x14ac:dyDescent="0.2">
      <c r="C401" s="160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</row>
    <row r="402" spans="3:16" x14ac:dyDescent="0.2">
      <c r="C402" s="160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</row>
    <row r="403" spans="3:16" x14ac:dyDescent="0.2"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</row>
    <row r="404" spans="3:16" x14ac:dyDescent="0.2"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</row>
    <row r="405" spans="3:16" x14ac:dyDescent="0.2"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</row>
    <row r="406" spans="3:16" x14ac:dyDescent="0.2"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</row>
    <row r="407" spans="3:16" x14ac:dyDescent="0.2"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</row>
    <row r="408" spans="3:16" x14ac:dyDescent="0.2"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</row>
    <row r="409" spans="3:16" x14ac:dyDescent="0.2">
      <c r="C409" s="160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</row>
    <row r="410" spans="3:16" x14ac:dyDescent="0.2"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</row>
    <row r="411" spans="3:16" x14ac:dyDescent="0.2"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</row>
    <row r="412" spans="3:16" x14ac:dyDescent="0.2"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</row>
    <row r="413" spans="3:16" x14ac:dyDescent="0.2">
      <c r="C413" s="160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</row>
    <row r="414" spans="3:16" x14ac:dyDescent="0.2"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</row>
    <row r="415" spans="3:16" x14ac:dyDescent="0.2"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</row>
    <row r="416" spans="3:16" x14ac:dyDescent="0.2"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</row>
    <row r="417" spans="3:16" x14ac:dyDescent="0.2">
      <c r="C417" s="160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</row>
    <row r="418" spans="3:16" x14ac:dyDescent="0.2"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</row>
    <row r="419" spans="3:16" x14ac:dyDescent="0.2"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</row>
    <row r="420" spans="3:16" x14ac:dyDescent="0.2">
      <c r="C420" s="160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</row>
    <row r="421" spans="3:16" x14ac:dyDescent="0.2"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</row>
    <row r="422" spans="3:16" x14ac:dyDescent="0.2"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</row>
    <row r="423" spans="3:16" x14ac:dyDescent="0.2"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</row>
    <row r="424" spans="3:16" x14ac:dyDescent="0.2"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</row>
    <row r="425" spans="3:16" x14ac:dyDescent="0.2"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</row>
    <row r="426" spans="3:16" x14ac:dyDescent="0.2"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</row>
    <row r="427" spans="3:16" x14ac:dyDescent="0.2"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</row>
    <row r="428" spans="3:16" x14ac:dyDescent="0.2"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</row>
    <row r="429" spans="3:16" x14ac:dyDescent="0.2">
      <c r="C429" s="160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</row>
    <row r="430" spans="3:16" x14ac:dyDescent="0.2">
      <c r="C430" s="160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</row>
    <row r="431" spans="3:16" x14ac:dyDescent="0.2">
      <c r="C431" s="160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</row>
    <row r="432" spans="3:16" x14ac:dyDescent="0.2">
      <c r="C432" s="160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</row>
    <row r="433" spans="3:16" x14ac:dyDescent="0.2"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</row>
    <row r="434" spans="3:16" x14ac:dyDescent="0.2"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</row>
    <row r="435" spans="3:16" x14ac:dyDescent="0.2"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</row>
    <row r="436" spans="3:16" x14ac:dyDescent="0.2"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</row>
    <row r="437" spans="3:16" x14ac:dyDescent="0.2">
      <c r="C437" s="160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</row>
    <row r="438" spans="3:16" x14ac:dyDescent="0.2"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</row>
    <row r="439" spans="3:16" x14ac:dyDescent="0.2"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</row>
    <row r="440" spans="3:16" x14ac:dyDescent="0.2"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</row>
    <row r="441" spans="3:16" x14ac:dyDescent="0.2"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</row>
    <row r="442" spans="3:16" x14ac:dyDescent="0.2"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</row>
    <row r="443" spans="3:16" x14ac:dyDescent="0.2"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</row>
    <row r="444" spans="3:16" x14ac:dyDescent="0.2"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</row>
    <row r="445" spans="3:16" x14ac:dyDescent="0.2"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</row>
    <row r="446" spans="3:16" x14ac:dyDescent="0.2">
      <c r="C446" s="160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</row>
    <row r="447" spans="3:16" x14ac:dyDescent="0.2">
      <c r="C447" s="160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</row>
    <row r="448" spans="3:16" x14ac:dyDescent="0.2"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</row>
    <row r="449" spans="3:16" x14ac:dyDescent="0.2">
      <c r="C449" s="160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</row>
    <row r="450" spans="3:16" x14ac:dyDescent="0.2">
      <c r="C450" s="160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</row>
    <row r="451" spans="3:16" x14ac:dyDescent="0.2"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</row>
    <row r="452" spans="3:16" x14ac:dyDescent="0.2"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</row>
    <row r="453" spans="3:16" x14ac:dyDescent="0.2">
      <c r="C453" s="160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</row>
    <row r="454" spans="3:16" x14ac:dyDescent="0.2"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</row>
    <row r="455" spans="3:16" x14ac:dyDescent="0.2"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</row>
    <row r="456" spans="3:16" x14ac:dyDescent="0.2"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</row>
    <row r="457" spans="3:16" x14ac:dyDescent="0.2"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</row>
    <row r="458" spans="3:16" x14ac:dyDescent="0.2"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</row>
    <row r="459" spans="3:16" x14ac:dyDescent="0.2"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</row>
    <row r="460" spans="3:16" x14ac:dyDescent="0.2"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</row>
    <row r="461" spans="3:16" x14ac:dyDescent="0.2"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</row>
    <row r="462" spans="3:16" x14ac:dyDescent="0.2"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</row>
    <row r="463" spans="3:16" x14ac:dyDescent="0.2">
      <c r="C463" s="160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</row>
    <row r="464" spans="3:16" x14ac:dyDescent="0.2">
      <c r="C464" s="160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</row>
    <row r="465" spans="3:16" x14ac:dyDescent="0.2">
      <c r="C465" s="160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</row>
    <row r="466" spans="3:16" x14ac:dyDescent="0.2">
      <c r="C466" s="160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</row>
    <row r="467" spans="3:16" x14ac:dyDescent="0.2">
      <c r="C467" s="160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</row>
    <row r="468" spans="3:16" x14ac:dyDescent="0.2">
      <c r="C468" s="160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</row>
    <row r="469" spans="3:16" x14ac:dyDescent="0.2">
      <c r="C469" s="160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</row>
    <row r="470" spans="3:16" x14ac:dyDescent="0.2">
      <c r="C470" s="160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</row>
    <row r="471" spans="3:16" x14ac:dyDescent="0.2">
      <c r="C471" s="160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</row>
    <row r="472" spans="3:16" x14ac:dyDescent="0.2">
      <c r="C472" s="160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</row>
    <row r="473" spans="3:16" x14ac:dyDescent="0.2"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</row>
    <row r="474" spans="3:16" x14ac:dyDescent="0.2">
      <c r="C474" s="160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</row>
    <row r="475" spans="3:16" x14ac:dyDescent="0.2">
      <c r="C475" s="160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</row>
    <row r="476" spans="3:16" x14ac:dyDescent="0.2">
      <c r="C476" s="160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</row>
    <row r="477" spans="3:16" x14ac:dyDescent="0.2">
      <c r="C477" s="160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</row>
    <row r="478" spans="3:16" x14ac:dyDescent="0.2"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</row>
    <row r="479" spans="3:16" x14ac:dyDescent="0.2"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</row>
    <row r="480" spans="3:16" x14ac:dyDescent="0.2"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</row>
    <row r="481" spans="3:16" x14ac:dyDescent="0.2"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</row>
    <row r="482" spans="3:16" x14ac:dyDescent="0.2"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</row>
    <row r="483" spans="3:16" x14ac:dyDescent="0.2"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</row>
    <row r="484" spans="3:16" x14ac:dyDescent="0.2"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</row>
    <row r="485" spans="3:16" x14ac:dyDescent="0.2"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</row>
    <row r="486" spans="3:16" x14ac:dyDescent="0.2"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</row>
    <row r="487" spans="3:16" x14ac:dyDescent="0.2"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</row>
    <row r="488" spans="3:16" x14ac:dyDescent="0.2"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</row>
    <row r="489" spans="3:16" x14ac:dyDescent="0.2"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</row>
    <row r="490" spans="3:16" x14ac:dyDescent="0.2"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</row>
    <row r="491" spans="3:16" x14ac:dyDescent="0.2"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</row>
    <row r="492" spans="3:16" x14ac:dyDescent="0.2"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</row>
    <row r="493" spans="3:16" x14ac:dyDescent="0.2"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</row>
    <row r="494" spans="3:16" x14ac:dyDescent="0.2"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</row>
    <row r="495" spans="3:16" x14ac:dyDescent="0.2"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</row>
    <row r="496" spans="3:16" x14ac:dyDescent="0.2"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</row>
    <row r="497" spans="3:16" x14ac:dyDescent="0.2"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</row>
    <row r="498" spans="3:16" x14ac:dyDescent="0.2"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</row>
    <row r="499" spans="3:16" x14ac:dyDescent="0.2"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</row>
    <row r="500" spans="3:16" x14ac:dyDescent="0.2"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</row>
    <row r="501" spans="3:16" x14ac:dyDescent="0.2"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</row>
    <row r="502" spans="3:16" x14ac:dyDescent="0.2">
      <c r="C502" s="160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</row>
    <row r="503" spans="3:16" x14ac:dyDescent="0.2">
      <c r="C503" s="160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</row>
    <row r="504" spans="3:16" x14ac:dyDescent="0.2"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</row>
    <row r="505" spans="3:16" x14ac:dyDescent="0.2"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</row>
    <row r="506" spans="3:16" x14ac:dyDescent="0.2"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</row>
    <row r="507" spans="3:16" x14ac:dyDescent="0.2">
      <c r="C507" s="160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</row>
    <row r="508" spans="3:16" x14ac:dyDescent="0.2"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</row>
    <row r="509" spans="3:16" x14ac:dyDescent="0.2">
      <c r="C509" s="160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</row>
    <row r="510" spans="3:16" x14ac:dyDescent="0.2"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</row>
    <row r="511" spans="3:16" x14ac:dyDescent="0.2"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</row>
    <row r="512" spans="3:16" x14ac:dyDescent="0.2"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</row>
    <row r="513" spans="3:16" x14ac:dyDescent="0.2"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</row>
    <row r="514" spans="3:16" x14ac:dyDescent="0.2"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</row>
    <row r="515" spans="3:16" x14ac:dyDescent="0.2"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</row>
    <row r="516" spans="3:16" x14ac:dyDescent="0.2"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</row>
    <row r="517" spans="3:16" x14ac:dyDescent="0.2">
      <c r="C517" s="160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</row>
    <row r="518" spans="3:16" x14ac:dyDescent="0.2">
      <c r="C518" s="160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</row>
    <row r="519" spans="3:16" x14ac:dyDescent="0.2">
      <c r="C519" s="160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</row>
    <row r="520" spans="3:16" x14ac:dyDescent="0.2"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</row>
    <row r="521" spans="3:16" x14ac:dyDescent="0.2"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</row>
    <row r="522" spans="3:16" x14ac:dyDescent="0.2"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</row>
    <row r="523" spans="3:16" x14ac:dyDescent="0.2"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</row>
    <row r="524" spans="3:16" x14ac:dyDescent="0.2"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</row>
    <row r="525" spans="3:16" x14ac:dyDescent="0.2"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</row>
    <row r="526" spans="3:16" x14ac:dyDescent="0.2"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</row>
    <row r="527" spans="3:16" x14ac:dyDescent="0.2"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</row>
    <row r="528" spans="3:16" x14ac:dyDescent="0.2"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</row>
    <row r="529" spans="3:16" x14ac:dyDescent="0.2"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</row>
    <row r="530" spans="3:16" x14ac:dyDescent="0.2"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</row>
    <row r="531" spans="3:16" x14ac:dyDescent="0.2"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</row>
    <row r="532" spans="3:16" x14ac:dyDescent="0.2">
      <c r="C532" s="160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</row>
    <row r="533" spans="3:16" x14ac:dyDescent="0.2"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</row>
    <row r="534" spans="3:16" x14ac:dyDescent="0.2"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</row>
    <row r="535" spans="3:16" x14ac:dyDescent="0.2">
      <c r="C535" s="160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</row>
    <row r="536" spans="3:16" x14ac:dyDescent="0.2"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</row>
    <row r="537" spans="3:16" x14ac:dyDescent="0.2"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</row>
    <row r="538" spans="3:16" x14ac:dyDescent="0.2"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</row>
    <row r="539" spans="3:16" x14ac:dyDescent="0.2"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</row>
    <row r="540" spans="3:16" x14ac:dyDescent="0.2">
      <c r="C540" s="160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</row>
    <row r="541" spans="3:16" x14ac:dyDescent="0.2">
      <c r="C541" s="160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</row>
    <row r="542" spans="3:16" x14ac:dyDescent="0.2"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</row>
    <row r="543" spans="3:16" x14ac:dyDescent="0.2"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</row>
    <row r="544" spans="3:16" x14ac:dyDescent="0.2">
      <c r="C544" s="160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</row>
    <row r="545" spans="3:16" x14ac:dyDescent="0.2"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</row>
    <row r="546" spans="3:16" x14ac:dyDescent="0.2"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</row>
    <row r="547" spans="3:16" x14ac:dyDescent="0.2"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</row>
    <row r="548" spans="3:16" x14ac:dyDescent="0.2"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</row>
    <row r="549" spans="3:16" x14ac:dyDescent="0.2"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</row>
    <row r="550" spans="3:16" x14ac:dyDescent="0.2"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</row>
    <row r="551" spans="3:16" x14ac:dyDescent="0.2">
      <c r="C551" s="160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</row>
    <row r="552" spans="3:16" x14ac:dyDescent="0.2"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</row>
    <row r="553" spans="3:16" x14ac:dyDescent="0.2"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</row>
    <row r="554" spans="3:16" x14ac:dyDescent="0.2"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</row>
    <row r="555" spans="3:16" x14ac:dyDescent="0.2"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</row>
    <row r="556" spans="3:16" x14ac:dyDescent="0.2"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</row>
    <row r="557" spans="3:16" x14ac:dyDescent="0.2"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</row>
    <row r="558" spans="3:16" x14ac:dyDescent="0.2"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</row>
    <row r="559" spans="3:16" x14ac:dyDescent="0.2"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</row>
    <row r="560" spans="3:16" x14ac:dyDescent="0.2"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</row>
    <row r="561" spans="3:16" x14ac:dyDescent="0.2">
      <c r="C561" s="160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</row>
    <row r="562" spans="3:16" x14ac:dyDescent="0.2"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</row>
    <row r="563" spans="3:16" x14ac:dyDescent="0.2"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</row>
    <row r="564" spans="3:16" x14ac:dyDescent="0.2"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</row>
    <row r="565" spans="3:16" x14ac:dyDescent="0.2">
      <c r="C565" s="160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</row>
    <row r="566" spans="3:16" x14ac:dyDescent="0.2">
      <c r="C566" s="160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</row>
    <row r="567" spans="3:16" x14ac:dyDescent="0.2">
      <c r="C567" s="160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</row>
    <row r="568" spans="3:16" x14ac:dyDescent="0.2">
      <c r="C568" s="160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</row>
    <row r="569" spans="3:16" x14ac:dyDescent="0.2"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</row>
    <row r="570" spans="3:16" x14ac:dyDescent="0.2"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</row>
    <row r="571" spans="3:16" x14ac:dyDescent="0.2">
      <c r="C571" s="160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</row>
    <row r="572" spans="3:16" x14ac:dyDescent="0.2">
      <c r="C572" s="160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</row>
    <row r="573" spans="3:16" x14ac:dyDescent="0.2">
      <c r="C573" s="160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</row>
    <row r="574" spans="3:16" x14ac:dyDescent="0.2"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</row>
    <row r="575" spans="3:16" x14ac:dyDescent="0.2"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</row>
    <row r="576" spans="3:16" x14ac:dyDescent="0.2"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</row>
    <row r="577" spans="3:16" x14ac:dyDescent="0.2">
      <c r="C577" s="160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</row>
    <row r="578" spans="3:16" x14ac:dyDescent="0.2"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</row>
    <row r="579" spans="3:16" x14ac:dyDescent="0.2">
      <c r="C579" s="160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</row>
    <row r="580" spans="3:16" x14ac:dyDescent="0.2"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</row>
    <row r="581" spans="3:16" x14ac:dyDescent="0.2"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</row>
    <row r="582" spans="3:16" x14ac:dyDescent="0.2"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</row>
    <row r="583" spans="3:16" x14ac:dyDescent="0.2"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</row>
    <row r="584" spans="3:16" x14ac:dyDescent="0.2">
      <c r="C584" s="160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</row>
    <row r="585" spans="3:16" x14ac:dyDescent="0.2">
      <c r="C585" s="160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</row>
    <row r="586" spans="3:16" x14ac:dyDescent="0.2"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</row>
    <row r="587" spans="3:16" x14ac:dyDescent="0.2"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</row>
    <row r="588" spans="3:16" x14ac:dyDescent="0.2"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</row>
    <row r="589" spans="3:16" x14ac:dyDescent="0.2"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</row>
    <row r="590" spans="3:16" x14ac:dyDescent="0.2"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</row>
    <row r="591" spans="3:16" x14ac:dyDescent="0.2"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</row>
    <row r="592" spans="3:16" x14ac:dyDescent="0.2"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</row>
    <row r="593" spans="3:16" x14ac:dyDescent="0.2"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</row>
    <row r="594" spans="3:16" x14ac:dyDescent="0.2">
      <c r="C594" s="160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</row>
    <row r="595" spans="3:16" x14ac:dyDescent="0.2">
      <c r="C595" s="160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</row>
    <row r="596" spans="3:16" x14ac:dyDescent="0.2"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</row>
    <row r="597" spans="3:16" x14ac:dyDescent="0.2"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</row>
    <row r="598" spans="3:16" x14ac:dyDescent="0.2"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</row>
    <row r="599" spans="3:16" x14ac:dyDescent="0.2"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</row>
    <row r="600" spans="3:16" x14ac:dyDescent="0.2">
      <c r="C600" s="160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</row>
    <row r="601" spans="3:16" x14ac:dyDescent="0.2">
      <c r="C601" s="160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</row>
    <row r="602" spans="3:16" x14ac:dyDescent="0.2">
      <c r="C602" s="160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</row>
    <row r="603" spans="3:16" x14ac:dyDescent="0.2"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</row>
    <row r="604" spans="3:16" x14ac:dyDescent="0.2">
      <c r="C604" s="160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</row>
    <row r="605" spans="3:16" x14ac:dyDescent="0.2">
      <c r="C605" s="160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</row>
    <row r="606" spans="3:16" x14ac:dyDescent="0.2"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</row>
    <row r="607" spans="3:16" x14ac:dyDescent="0.2">
      <c r="C607" s="160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</row>
    <row r="608" spans="3:16" x14ac:dyDescent="0.2">
      <c r="C608" s="160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</row>
    <row r="609" spans="3:16" x14ac:dyDescent="0.2">
      <c r="C609" s="160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</row>
    <row r="610" spans="3:16" x14ac:dyDescent="0.2">
      <c r="C610" s="160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</row>
    <row r="611" spans="3:16" x14ac:dyDescent="0.2">
      <c r="C611" s="160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</row>
    <row r="612" spans="3:16" x14ac:dyDescent="0.2">
      <c r="C612" s="160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</row>
    <row r="613" spans="3:16" x14ac:dyDescent="0.2"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</row>
    <row r="614" spans="3:16" x14ac:dyDescent="0.2"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</row>
    <row r="615" spans="3:16" x14ac:dyDescent="0.2"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</row>
    <row r="616" spans="3:16" x14ac:dyDescent="0.2"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</row>
    <row r="617" spans="3:16" x14ac:dyDescent="0.2"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</row>
    <row r="618" spans="3:16" x14ac:dyDescent="0.2"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</row>
    <row r="619" spans="3:16" x14ac:dyDescent="0.2"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</row>
    <row r="620" spans="3:16" x14ac:dyDescent="0.2"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</row>
    <row r="621" spans="3:16" x14ac:dyDescent="0.2"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</row>
    <row r="622" spans="3:16" x14ac:dyDescent="0.2"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</row>
    <row r="623" spans="3:16" x14ac:dyDescent="0.2"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</row>
    <row r="624" spans="3:16" x14ac:dyDescent="0.2"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</row>
    <row r="625" spans="3:16" x14ac:dyDescent="0.2"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</row>
    <row r="626" spans="3:16" x14ac:dyDescent="0.2"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</row>
    <row r="627" spans="3:16" x14ac:dyDescent="0.2"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</row>
    <row r="628" spans="3:16" x14ac:dyDescent="0.2"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</row>
    <row r="629" spans="3:16" x14ac:dyDescent="0.2"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</row>
    <row r="630" spans="3:16" x14ac:dyDescent="0.2"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</row>
    <row r="631" spans="3:16" x14ac:dyDescent="0.2"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</row>
    <row r="632" spans="3:16" x14ac:dyDescent="0.2"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</row>
    <row r="633" spans="3:16" x14ac:dyDescent="0.2"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</row>
    <row r="634" spans="3:16" x14ac:dyDescent="0.2"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</row>
    <row r="635" spans="3:16" x14ac:dyDescent="0.2"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</row>
    <row r="636" spans="3:16" x14ac:dyDescent="0.2"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</row>
    <row r="637" spans="3:16" x14ac:dyDescent="0.2"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</row>
    <row r="638" spans="3:16" x14ac:dyDescent="0.2"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</row>
    <row r="639" spans="3:16" x14ac:dyDescent="0.2"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</row>
    <row r="640" spans="3:16" x14ac:dyDescent="0.2"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</row>
    <row r="641" spans="3:16" x14ac:dyDescent="0.2"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</row>
    <row r="642" spans="3:16" x14ac:dyDescent="0.2"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</row>
    <row r="643" spans="3:16" x14ac:dyDescent="0.2"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</row>
    <row r="644" spans="3:16" x14ac:dyDescent="0.2"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</row>
    <row r="645" spans="3:16" x14ac:dyDescent="0.2"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</row>
    <row r="646" spans="3:16" x14ac:dyDescent="0.2"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</row>
    <row r="647" spans="3:16" x14ac:dyDescent="0.2"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</row>
    <row r="648" spans="3:16" x14ac:dyDescent="0.2"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</row>
    <row r="649" spans="3:16" x14ac:dyDescent="0.2"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</row>
    <row r="650" spans="3:16" x14ac:dyDescent="0.2"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</row>
    <row r="651" spans="3:16" x14ac:dyDescent="0.2"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</row>
    <row r="652" spans="3:16" x14ac:dyDescent="0.2"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</row>
    <row r="653" spans="3:16" x14ac:dyDescent="0.2"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</row>
    <row r="654" spans="3:16" x14ac:dyDescent="0.2"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</row>
    <row r="655" spans="3:16" x14ac:dyDescent="0.2"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</row>
    <row r="656" spans="3:16" x14ac:dyDescent="0.2"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</row>
    <row r="657" spans="3:16" x14ac:dyDescent="0.2"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</row>
    <row r="658" spans="3:16" x14ac:dyDescent="0.2"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</row>
    <row r="659" spans="3:16" x14ac:dyDescent="0.2"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</row>
    <row r="660" spans="3:16" x14ac:dyDescent="0.2"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</row>
    <row r="661" spans="3:16" x14ac:dyDescent="0.2"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</row>
    <row r="662" spans="3:16" x14ac:dyDescent="0.2"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</row>
    <row r="663" spans="3:16" x14ac:dyDescent="0.2"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</row>
    <row r="664" spans="3:16" x14ac:dyDescent="0.2"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</row>
    <row r="665" spans="3:16" x14ac:dyDescent="0.2"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</row>
    <row r="666" spans="3:16" x14ac:dyDescent="0.2"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</row>
    <row r="667" spans="3:16" x14ac:dyDescent="0.2"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</row>
    <row r="668" spans="3:16" x14ac:dyDescent="0.2"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</row>
    <row r="669" spans="3:16" x14ac:dyDescent="0.2"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</row>
    <row r="670" spans="3:16" x14ac:dyDescent="0.2"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</row>
    <row r="671" spans="3:16" x14ac:dyDescent="0.2"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</row>
    <row r="672" spans="3:16" x14ac:dyDescent="0.2"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</row>
    <row r="673" spans="3:16" x14ac:dyDescent="0.2"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</row>
    <row r="674" spans="3:16" x14ac:dyDescent="0.2"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</row>
    <row r="675" spans="3:16" x14ac:dyDescent="0.2"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</row>
    <row r="676" spans="3:16" x14ac:dyDescent="0.2"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</row>
    <row r="677" spans="3:16" x14ac:dyDescent="0.2"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</row>
    <row r="678" spans="3:16" x14ac:dyDescent="0.2"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</row>
    <row r="679" spans="3:16" x14ac:dyDescent="0.2"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</row>
    <row r="680" spans="3:16" x14ac:dyDescent="0.2"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</row>
    <row r="681" spans="3:16" x14ac:dyDescent="0.2"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</row>
    <row r="682" spans="3:16" x14ac:dyDescent="0.2"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</row>
    <row r="683" spans="3:16" x14ac:dyDescent="0.2"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</row>
    <row r="684" spans="3:16" x14ac:dyDescent="0.2"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</row>
    <row r="685" spans="3:16" x14ac:dyDescent="0.2"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</row>
    <row r="686" spans="3:16" x14ac:dyDescent="0.2"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</row>
    <row r="687" spans="3:16" x14ac:dyDescent="0.2"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</row>
    <row r="688" spans="3:16" x14ac:dyDescent="0.2"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</row>
    <row r="689" spans="3:16" x14ac:dyDescent="0.2"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</row>
    <row r="690" spans="3:16" x14ac:dyDescent="0.2"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</row>
    <row r="691" spans="3:16" x14ac:dyDescent="0.2"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</row>
    <row r="692" spans="3:16" x14ac:dyDescent="0.2"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</row>
    <row r="693" spans="3:16" x14ac:dyDescent="0.2"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</row>
    <row r="694" spans="3:16" x14ac:dyDescent="0.2">
      <c r="C694" s="160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</row>
    <row r="695" spans="3:16" x14ac:dyDescent="0.2">
      <c r="C695" s="160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</row>
    <row r="696" spans="3:16" x14ac:dyDescent="0.2">
      <c r="C696" s="160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</row>
    <row r="697" spans="3:16" x14ac:dyDescent="0.2">
      <c r="C697" s="160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</row>
    <row r="698" spans="3:16" x14ac:dyDescent="0.2">
      <c r="C698" s="160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</row>
    <row r="699" spans="3:16" x14ac:dyDescent="0.2">
      <c r="C699" s="160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</row>
    <row r="700" spans="3:16" x14ac:dyDescent="0.2">
      <c r="C700" s="160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</row>
    <row r="701" spans="3:16" x14ac:dyDescent="0.2">
      <c r="C701" s="160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</row>
    <row r="702" spans="3:16" x14ac:dyDescent="0.2"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</row>
    <row r="703" spans="3:16" x14ac:dyDescent="0.2">
      <c r="C703" s="160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</row>
    <row r="704" spans="3:16" x14ac:dyDescent="0.2">
      <c r="C704" s="160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</row>
    <row r="705" spans="3:16" x14ac:dyDescent="0.2">
      <c r="C705" s="160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</row>
    <row r="706" spans="3:16" x14ac:dyDescent="0.2"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</row>
    <row r="707" spans="3:16" x14ac:dyDescent="0.2">
      <c r="C707" s="160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</row>
    <row r="708" spans="3:16" x14ac:dyDescent="0.2">
      <c r="C708" s="160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</row>
    <row r="709" spans="3:16" x14ac:dyDescent="0.2">
      <c r="C709" s="160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</row>
    <row r="710" spans="3:16" x14ac:dyDescent="0.2"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</row>
    <row r="711" spans="3:16" x14ac:dyDescent="0.2"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</row>
    <row r="712" spans="3:16" x14ac:dyDescent="0.2"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</row>
    <row r="713" spans="3:16" x14ac:dyDescent="0.2"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</row>
    <row r="714" spans="3:16" x14ac:dyDescent="0.2"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</row>
    <row r="715" spans="3:16" x14ac:dyDescent="0.2"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</row>
    <row r="716" spans="3:16" x14ac:dyDescent="0.2"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</row>
    <row r="717" spans="3:16" x14ac:dyDescent="0.2"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</row>
    <row r="718" spans="3:16" x14ac:dyDescent="0.2"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</row>
    <row r="719" spans="3:16" x14ac:dyDescent="0.2"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</row>
    <row r="720" spans="3:16" x14ac:dyDescent="0.2"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</row>
    <row r="721" spans="3:16" x14ac:dyDescent="0.2"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</row>
    <row r="722" spans="3:16" x14ac:dyDescent="0.2"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</row>
    <row r="723" spans="3:16" x14ac:dyDescent="0.2"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</row>
    <row r="724" spans="3:16" x14ac:dyDescent="0.2"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</row>
    <row r="725" spans="3:16" x14ac:dyDescent="0.2"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</row>
    <row r="726" spans="3:16" x14ac:dyDescent="0.2"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</row>
    <row r="727" spans="3:16" x14ac:dyDescent="0.2"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</row>
    <row r="728" spans="3:16" x14ac:dyDescent="0.2"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</row>
    <row r="729" spans="3:16" x14ac:dyDescent="0.2"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</row>
    <row r="730" spans="3:16" x14ac:dyDescent="0.2"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</row>
    <row r="731" spans="3:16" x14ac:dyDescent="0.2"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</row>
    <row r="732" spans="3:16" x14ac:dyDescent="0.2"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</row>
    <row r="733" spans="3:16" x14ac:dyDescent="0.2"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</row>
    <row r="734" spans="3:16" x14ac:dyDescent="0.2"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</row>
    <row r="735" spans="3:16" x14ac:dyDescent="0.2"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</row>
    <row r="736" spans="3:16" x14ac:dyDescent="0.2"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</row>
    <row r="737" spans="3:16" x14ac:dyDescent="0.2"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</row>
    <row r="738" spans="3:16" x14ac:dyDescent="0.2"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</row>
    <row r="739" spans="3:16" x14ac:dyDescent="0.2"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</row>
    <row r="740" spans="3:16" x14ac:dyDescent="0.2"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</row>
    <row r="741" spans="3:16" x14ac:dyDescent="0.2"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</row>
    <row r="742" spans="3:16" x14ac:dyDescent="0.2"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</row>
    <row r="743" spans="3:16" x14ac:dyDescent="0.2"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</row>
    <row r="744" spans="3:16" x14ac:dyDescent="0.2"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</row>
    <row r="745" spans="3:16" x14ac:dyDescent="0.2"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</row>
    <row r="746" spans="3:16" x14ac:dyDescent="0.2"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</row>
    <row r="747" spans="3:16" x14ac:dyDescent="0.2"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</row>
    <row r="748" spans="3:16" x14ac:dyDescent="0.2"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</row>
    <row r="749" spans="3:16" x14ac:dyDescent="0.2"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</row>
    <row r="750" spans="3:16" x14ac:dyDescent="0.2"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</row>
    <row r="751" spans="3:16" x14ac:dyDescent="0.2"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</row>
    <row r="752" spans="3:16" x14ac:dyDescent="0.2"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</row>
    <row r="753" spans="3:16" x14ac:dyDescent="0.2"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</row>
    <row r="754" spans="3:16" x14ac:dyDescent="0.2"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</row>
    <row r="755" spans="3:16" x14ac:dyDescent="0.2"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</row>
    <row r="756" spans="3:16" x14ac:dyDescent="0.2"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</row>
    <row r="757" spans="3:16" x14ac:dyDescent="0.2"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</row>
    <row r="758" spans="3:16" x14ac:dyDescent="0.2"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</row>
    <row r="759" spans="3:16" x14ac:dyDescent="0.2"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</row>
    <row r="760" spans="3:16" x14ac:dyDescent="0.2"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</row>
    <row r="761" spans="3:16" x14ac:dyDescent="0.2"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</row>
    <row r="762" spans="3:16" x14ac:dyDescent="0.2"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</row>
    <row r="763" spans="3:16" x14ac:dyDescent="0.2"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</row>
    <row r="764" spans="3:16" x14ac:dyDescent="0.2"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</row>
    <row r="765" spans="3:16" x14ac:dyDescent="0.2"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</row>
    <row r="766" spans="3:16" x14ac:dyDescent="0.2"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</row>
    <row r="767" spans="3:16" x14ac:dyDescent="0.2"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</row>
    <row r="768" spans="3:16" x14ac:dyDescent="0.2"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</row>
    <row r="769" spans="3:16" x14ac:dyDescent="0.2"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</row>
    <row r="770" spans="3:16" x14ac:dyDescent="0.2"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</row>
    <row r="771" spans="3:16" x14ac:dyDescent="0.2"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</row>
    <row r="772" spans="3:16" x14ac:dyDescent="0.2"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</row>
    <row r="773" spans="3:16" x14ac:dyDescent="0.2"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</row>
    <row r="774" spans="3:16" x14ac:dyDescent="0.2"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</row>
    <row r="775" spans="3:16" x14ac:dyDescent="0.2"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</row>
    <row r="776" spans="3:16" x14ac:dyDescent="0.2"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</row>
    <row r="777" spans="3:16" x14ac:dyDescent="0.2"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</row>
    <row r="778" spans="3:16" x14ac:dyDescent="0.2"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</row>
    <row r="779" spans="3:16" x14ac:dyDescent="0.2"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</row>
    <row r="780" spans="3:16" x14ac:dyDescent="0.2"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</row>
    <row r="781" spans="3:16" x14ac:dyDescent="0.2"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</row>
    <row r="782" spans="3:16" x14ac:dyDescent="0.2"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</row>
    <row r="783" spans="3:16" x14ac:dyDescent="0.2"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</row>
    <row r="784" spans="3:16" x14ac:dyDescent="0.2"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</row>
    <row r="785" spans="3:16" x14ac:dyDescent="0.2"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</row>
    <row r="786" spans="3:16" x14ac:dyDescent="0.2"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</row>
    <row r="787" spans="3:16" x14ac:dyDescent="0.2"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</row>
    <row r="788" spans="3:16" x14ac:dyDescent="0.2"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</row>
    <row r="789" spans="3:16" x14ac:dyDescent="0.2"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</row>
    <row r="790" spans="3:16" x14ac:dyDescent="0.2"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</row>
    <row r="791" spans="3:16" x14ac:dyDescent="0.2"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</row>
    <row r="792" spans="3:16" x14ac:dyDescent="0.2"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</row>
    <row r="793" spans="3:16" x14ac:dyDescent="0.2"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</row>
    <row r="794" spans="3:16" x14ac:dyDescent="0.2"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</row>
    <row r="795" spans="3:16" x14ac:dyDescent="0.2"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</row>
    <row r="796" spans="3:16" x14ac:dyDescent="0.2"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</row>
    <row r="797" spans="3:16" x14ac:dyDescent="0.2"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</row>
    <row r="798" spans="3:16" x14ac:dyDescent="0.2"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</row>
    <row r="799" spans="3:16" x14ac:dyDescent="0.2"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</row>
    <row r="800" spans="3:16" x14ac:dyDescent="0.2"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</row>
    <row r="801" spans="3:16" x14ac:dyDescent="0.2"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</row>
    <row r="802" spans="3:16" x14ac:dyDescent="0.2"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</row>
    <row r="803" spans="3:16" x14ac:dyDescent="0.2"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</row>
    <row r="804" spans="3:16" x14ac:dyDescent="0.2"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</row>
    <row r="805" spans="3:16" x14ac:dyDescent="0.2"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</row>
    <row r="806" spans="3:16" x14ac:dyDescent="0.2"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</row>
    <row r="807" spans="3:16" x14ac:dyDescent="0.2"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</row>
    <row r="808" spans="3:16" x14ac:dyDescent="0.2"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</row>
    <row r="809" spans="3:16" x14ac:dyDescent="0.2"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</row>
    <row r="810" spans="3:16" x14ac:dyDescent="0.2"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</row>
    <row r="811" spans="3:16" x14ac:dyDescent="0.2"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</row>
    <row r="812" spans="3:16" x14ac:dyDescent="0.2"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</row>
    <row r="813" spans="3:16" x14ac:dyDescent="0.2"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</row>
    <row r="814" spans="3:16" x14ac:dyDescent="0.2"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</row>
    <row r="815" spans="3:16" x14ac:dyDescent="0.2"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</row>
    <row r="816" spans="3:16" x14ac:dyDescent="0.2"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</row>
    <row r="817" spans="3:16" x14ac:dyDescent="0.2"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</row>
    <row r="818" spans="3:16" x14ac:dyDescent="0.2"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</row>
    <row r="819" spans="3:16" x14ac:dyDescent="0.2"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</row>
    <row r="820" spans="3:16" x14ac:dyDescent="0.2"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</row>
    <row r="821" spans="3:16" x14ac:dyDescent="0.2"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</row>
    <row r="822" spans="3:16" x14ac:dyDescent="0.2"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</row>
    <row r="823" spans="3:16" x14ac:dyDescent="0.2"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</row>
    <row r="824" spans="3:16" x14ac:dyDescent="0.2"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</row>
    <row r="825" spans="3:16" x14ac:dyDescent="0.2"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</row>
    <row r="826" spans="3:16" x14ac:dyDescent="0.2"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</row>
    <row r="827" spans="3:16" x14ac:dyDescent="0.2"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</row>
    <row r="828" spans="3:16" x14ac:dyDescent="0.2"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</row>
    <row r="829" spans="3:16" x14ac:dyDescent="0.2"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</row>
    <row r="830" spans="3:16" x14ac:dyDescent="0.2"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</row>
    <row r="831" spans="3:16" x14ac:dyDescent="0.2"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</row>
    <row r="832" spans="3:16" x14ac:dyDescent="0.2"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</row>
    <row r="833" spans="3:16" x14ac:dyDescent="0.2"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</row>
    <row r="834" spans="3:16" x14ac:dyDescent="0.2"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</row>
    <row r="835" spans="3:16" x14ac:dyDescent="0.2"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</row>
    <row r="836" spans="3:16" x14ac:dyDescent="0.2"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</row>
    <row r="837" spans="3:16" x14ac:dyDescent="0.2"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</row>
    <row r="838" spans="3:16" x14ac:dyDescent="0.2"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</row>
    <row r="839" spans="3:16" x14ac:dyDescent="0.2"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</row>
    <row r="840" spans="3:16" x14ac:dyDescent="0.2"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</row>
    <row r="841" spans="3:16" x14ac:dyDescent="0.2"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</row>
    <row r="842" spans="3:16" x14ac:dyDescent="0.2"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</row>
    <row r="843" spans="3:16" x14ac:dyDescent="0.2"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</row>
    <row r="844" spans="3:16" x14ac:dyDescent="0.2"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</row>
    <row r="845" spans="3:16" x14ac:dyDescent="0.2"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</row>
    <row r="846" spans="3:16" x14ac:dyDescent="0.2"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</row>
    <row r="847" spans="3:16" x14ac:dyDescent="0.2"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</row>
    <row r="848" spans="3:16" x14ac:dyDescent="0.2"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</row>
    <row r="849" spans="3:16" x14ac:dyDescent="0.2"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</row>
    <row r="850" spans="3:16" x14ac:dyDescent="0.2"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</row>
    <row r="851" spans="3:16" x14ac:dyDescent="0.2"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</row>
    <row r="852" spans="3:16" x14ac:dyDescent="0.2"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</row>
    <row r="853" spans="3:16" x14ac:dyDescent="0.2"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</row>
    <row r="854" spans="3:16" x14ac:dyDescent="0.2"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</row>
    <row r="855" spans="3:16" x14ac:dyDescent="0.2"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</row>
    <row r="856" spans="3:16" x14ac:dyDescent="0.2"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</row>
    <row r="857" spans="3:16" x14ac:dyDescent="0.2"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</row>
    <row r="858" spans="3:16" x14ac:dyDescent="0.2"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</row>
    <row r="859" spans="3:16" x14ac:dyDescent="0.2"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</row>
    <row r="860" spans="3:16" x14ac:dyDescent="0.2"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</row>
    <row r="861" spans="3:16" x14ac:dyDescent="0.2"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</row>
    <row r="862" spans="3:16" x14ac:dyDescent="0.2"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</row>
    <row r="863" spans="3:16" x14ac:dyDescent="0.2"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</row>
    <row r="864" spans="3:16" x14ac:dyDescent="0.2"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</row>
    <row r="865" spans="3:16" x14ac:dyDescent="0.2"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</row>
    <row r="866" spans="3:16" x14ac:dyDescent="0.2"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</row>
    <row r="867" spans="3:16" x14ac:dyDescent="0.2"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</row>
    <row r="868" spans="3:16" x14ac:dyDescent="0.2"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</row>
    <row r="869" spans="3:16" x14ac:dyDescent="0.2"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</row>
    <row r="870" spans="3:16" x14ac:dyDescent="0.2"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</row>
    <row r="871" spans="3:16" x14ac:dyDescent="0.2"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</row>
    <row r="872" spans="3:16" x14ac:dyDescent="0.2"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</row>
    <row r="873" spans="3:16" x14ac:dyDescent="0.2"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</row>
    <row r="874" spans="3:16" x14ac:dyDescent="0.2"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</row>
    <row r="875" spans="3:16" x14ac:dyDescent="0.2"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</row>
    <row r="876" spans="3:16" x14ac:dyDescent="0.2"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</row>
    <row r="877" spans="3:16" x14ac:dyDescent="0.2"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</row>
    <row r="878" spans="3:16" x14ac:dyDescent="0.2"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</row>
    <row r="879" spans="3:16" x14ac:dyDescent="0.2"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</row>
    <row r="880" spans="3:16" x14ac:dyDescent="0.2"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</row>
    <row r="881" spans="3:16" x14ac:dyDescent="0.2"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</row>
    <row r="882" spans="3:16" x14ac:dyDescent="0.2"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</row>
    <row r="883" spans="3:16" x14ac:dyDescent="0.2"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</row>
    <row r="884" spans="3:16" x14ac:dyDescent="0.2"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</row>
    <row r="885" spans="3:16" x14ac:dyDescent="0.2"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</row>
    <row r="886" spans="3:16" x14ac:dyDescent="0.2"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</row>
    <row r="887" spans="3:16" x14ac:dyDescent="0.2"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</row>
    <row r="888" spans="3:16" x14ac:dyDescent="0.2"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</row>
    <row r="889" spans="3:16" x14ac:dyDescent="0.2"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</row>
    <row r="890" spans="3:16" x14ac:dyDescent="0.2"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</row>
    <row r="891" spans="3:16" x14ac:dyDescent="0.2"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</row>
    <row r="892" spans="3:16" x14ac:dyDescent="0.2"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</row>
    <row r="893" spans="3:16" x14ac:dyDescent="0.2"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</row>
    <row r="894" spans="3:16" x14ac:dyDescent="0.2"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</row>
    <row r="895" spans="3:16" x14ac:dyDescent="0.2"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</row>
    <row r="896" spans="3:16" x14ac:dyDescent="0.2"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</row>
    <row r="897" spans="3:16" x14ac:dyDescent="0.2"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</row>
    <row r="898" spans="3:16" x14ac:dyDescent="0.2"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</row>
    <row r="899" spans="3:16" x14ac:dyDescent="0.2"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</row>
    <row r="900" spans="3:16" x14ac:dyDescent="0.2"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</row>
    <row r="901" spans="3:16" x14ac:dyDescent="0.2"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</row>
    <row r="902" spans="3:16" x14ac:dyDescent="0.2"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</row>
    <row r="903" spans="3:16" x14ac:dyDescent="0.2"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</row>
    <row r="904" spans="3:16" x14ac:dyDescent="0.2"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</row>
    <row r="905" spans="3:16" x14ac:dyDescent="0.2"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</row>
    <row r="906" spans="3:16" x14ac:dyDescent="0.2"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</row>
    <row r="907" spans="3:16" x14ac:dyDescent="0.2"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</row>
    <row r="908" spans="3:16" x14ac:dyDescent="0.2"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</row>
    <row r="909" spans="3:16" x14ac:dyDescent="0.2"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</row>
    <row r="910" spans="3:16" x14ac:dyDescent="0.2"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</row>
    <row r="911" spans="3:16" x14ac:dyDescent="0.2"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</row>
    <row r="912" spans="3:16" x14ac:dyDescent="0.2"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</row>
    <row r="913" spans="3:16" x14ac:dyDescent="0.2"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</row>
    <row r="914" spans="3:16" x14ac:dyDescent="0.2"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</row>
    <row r="915" spans="3:16" x14ac:dyDescent="0.2"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</row>
    <row r="916" spans="3:16" x14ac:dyDescent="0.2"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</row>
    <row r="917" spans="3:16" x14ac:dyDescent="0.2"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</row>
    <row r="918" spans="3:16" x14ac:dyDescent="0.2"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</row>
    <row r="919" spans="3:16" x14ac:dyDescent="0.2"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</row>
    <row r="920" spans="3:16" x14ac:dyDescent="0.2"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</row>
    <row r="921" spans="3:16" x14ac:dyDescent="0.2"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</row>
    <row r="922" spans="3:16" x14ac:dyDescent="0.2"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</row>
    <row r="923" spans="3:16" x14ac:dyDescent="0.2"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</row>
    <row r="924" spans="3:16" x14ac:dyDescent="0.2"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</row>
    <row r="925" spans="3:16" x14ac:dyDescent="0.2"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</row>
    <row r="926" spans="3:16" x14ac:dyDescent="0.2"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</row>
    <row r="927" spans="3:16" x14ac:dyDescent="0.2"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</row>
    <row r="928" spans="3:16" x14ac:dyDescent="0.2"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</row>
    <row r="929" spans="3:16" x14ac:dyDescent="0.2"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</row>
    <row r="930" spans="3:16" x14ac:dyDescent="0.2"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</row>
    <row r="931" spans="3:16" x14ac:dyDescent="0.2"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</row>
    <row r="932" spans="3:16" x14ac:dyDescent="0.2"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</row>
    <row r="933" spans="3:16" x14ac:dyDescent="0.2"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</row>
    <row r="934" spans="3:16" x14ac:dyDescent="0.2"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</row>
    <row r="935" spans="3:16" x14ac:dyDescent="0.2"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</row>
    <row r="936" spans="3:16" x14ac:dyDescent="0.2"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</row>
    <row r="937" spans="3:16" x14ac:dyDescent="0.2"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</row>
    <row r="938" spans="3:16" x14ac:dyDescent="0.2"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</row>
    <row r="939" spans="3:16" x14ac:dyDescent="0.2"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</row>
    <row r="940" spans="3:16" x14ac:dyDescent="0.2"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</row>
    <row r="941" spans="3:16" x14ac:dyDescent="0.2"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</row>
    <row r="942" spans="3:16" x14ac:dyDescent="0.2"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</row>
    <row r="943" spans="3:16" x14ac:dyDescent="0.2"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</row>
    <row r="944" spans="3:16" x14ac:dyDescent="0.2"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</row>
    <row r="945" spans="3:16" x14ac:dyDescent="0.2"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</row>
    <row r="946" spans="3:16" x14ac:dyDescent="0.2"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</row>
    <row r="947" spans="3:16" x14ac:dyDescent="0.2"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</row>
    <row r="948" spans="3:16" x14ac:dyDescent="0.2"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</row>
    <row r="949" spans="3:16" x14ac:dyDescent="0.2"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</row>
    <row r="950" spans="3:16" x14ac:dyDescent="0.2"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</row>
    <row r="951" spans="3:16" x14ac:dyDescent="0.2"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</row>
    <row r="952" spans="3:16" x14ac:dyDescent="0.2"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</row>
    <row r="953" spans="3:16" x14ac:dyDescent="0.2"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</row>
    <row r="954" spans="3:16" x14ac:dyDescent="0.2"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</row>
    <row r="955" spans="3:16" x14ac:dyDescent="0.2"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</row>
    <row r="956" spans="3:16" x14ac:dyDescent="0.2"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</row>
    <row r="957" spans="3:16" x14ac:dyDescent="0.2"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</row>
    <row r="958" spans="3:16" x14ac:dyDescent="0.2"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</row>
    <row r="959" spans="3:16" x14ac:dyDescent="0.2"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</row>
    <row r="960" spans="3:16" x14ac:dyDescent="0.2"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</row>
    <row r="961" spans="3:16" x14ac:dyDescent="0.2"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</row>
    <row r="962" spans="3:16" x14ac:dyDescent="0.2"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</row>
    <row r="963" spans="3:16" x14ac:dyDescent="0.2"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</row>
    <row r="964" spans="3:16" x14ac:dyDescent="0.2"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</row>
    <row r="965" spans="3:16" x14ac:dyDescent="0.2"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</row>
    <row r="966" spans="3:16" x14ac:dyDescent="0.2"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</row>
    <row r="967" spans="3:16" x14ac:dyDescent="0.2"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</row>
    <row r="968" spans="3:16" x14ac:dyDescent="0.2"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</row>
    <row r="969" spans="3:16" x14ac:dyDescent="0.2"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</row>
    <row r="970" spans="3:16" x14ac:dyDescent="0.2"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</row>
    <row r="971" spans="3:16" x14ac:dyDescent="0.2"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</row>
    <row r="972" spans="3:16" x14ac:dyDescent="0.2">
      <c r="C972" s="160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</row>
    <row r="973" spans="3:16" x14ac:dyDescent="0.2">
      <c r="C973" s="160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</row>
    <row r="974" spans="3:16" x14ac:dyDescent="0.2">
      <c r="C974" s="160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</row>
    <row r="975" spans="3:16" x14ac:dyDescent="0.2">
      <c r="C975" s="160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</row>
    <row r="976" spans="3:16" x14ac:dyDescent="0.2">
      <c r="C976" s="160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</row>
    <row r="977" spans="3:16" x14ac:dyDescent="0.2">
      <c r="C977" s="160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</row>
    <row r="978" spans="3:16" x14ac:dyDescent="0.2">
      <c r="C978" s="160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</row>
    <row r="979" spans="3:16" x14ac:dyDescent="0.2">
      <c r="C979" s="160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</row>
    <row r="980" spans="3:16" x14ac:dyDescent="0.2">
      <c r="C980" s="160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</row>
    <row r="981" spans="3:16" x14ac:dyDescent="0.2">
      <c r="C981" s="160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</row>
    <row r="982" spans="3:16" x14ac:dyDescent="0.2"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</row>
    <row r="983" spans="3:16" x14ac:dyDescent="0.2"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</row>
    <row r="984" spans="3:16" x14ac:dyDescent="0.2"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</row>
    <row r="985" spans="3:16" x14ac:dyDescent="0.2"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</row>
    <row r="986" spans="3:16" x14ac:dyDescent="0.2"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</row>
    <row r="987" spans="3:16" x14ac:dyDescent="0.2"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</row>
    <row r="988" spans="3:16" x14ac:dyDescent="0.2"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</row>
    <row r="989" spans="3:16" x14ac:dyDescent="0.2">
      <c r="C989" s="160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</row>
    <row r="990" spans="3:16" x14ac:dyDescent="0.2"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</row>
    <row r="991" spans="3:16" x14ac:dyDescent="0.2">
      <c r="C991" s="160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</row>
    <row r="992" spans="3:16" x14ac:dyDescent="0.2">
      <c r="C992" s="160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</row>
    <row r="993" spans="3:16" x14ac:dyDescent="0.2">
      <c r="C993" s="160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</row>
    <row r="994" spans="3:16" x14ac:dyDescent="0.2">
      <c r="C994" s="160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</row>
    <row r="995" spans="3:16" x14ac:dyDescent="0.2">
      <c r="C995" s="160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</row>
    <row r="996" spans="3:16" x14ac:dyDescent="0.2">
      <c r="C996" s="160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</row>
    <row r="997" spans="3:16" x14ac:dyDescent="0.2">
      <c r="C997" s="160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</row>
    <row r="998" spans="3:16" x14ac:dyDescent="0.2"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</row>
    <row r="999" spans="3:16" x14ac:dyDescent="0.2">
      <c r="C999" s="160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</row>
    <row r="1000" spans="3:16" x14ac:dyDescent="0.2">
      <c r="C1000" s="160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</row>
    <row r="1001" spans="3:16" x14ac:dyDescent="0.2">
      <c r="C1001" s="160"/>
      <c r="D1001" s="160"/>
      <c r="E1001" s="160"/>
      <c r="F1001" s="160"/>
      <c r="G1001" s="160"/>
      <c r="H1001" s="160"/>
      <c r="I1001" s="160"/>
      <c r="J1001" s="160"/>
      <c r="K1001" s="160"/>
      <c r="L1001" s="160"/>
      <c r="M1001" s="160"/>
      <c r="N1001" s="160"/>
      <c r="O1001" s="160"/>
      <c r="P1001" s="160"/>
    </row>
    <row r="1002" spans="3:16" x14ac:dyDescent="0.2">
      <c r="C1002" s="160"/>
      <c r="D1002" s="160"/>
      <c r="E1002" s="160"/>
      <c r="F1002" s="160"/>
      <c r="G1002" s="160"/>
      <c r="H1002" s="160"/>
      <c r="I1002" s="160"/>
      <c r="J1002" s="160"/>
      <c r="K1002" s="160"/>
      <c r="L1002" s="160"/>
      <c r="M1002" s="160"/>
      <c r="N1002" s="160"/>
      <c r="O1002" s="160"/>
      <c r="P1002" s="160"/>
    </row>
    <row r="1003" spans="3:16" x14ac:dyDescent="0.2">
      <c r="C1003" s="160"/>
      <c r="D1003" s="160"/>
      <c r="E1003" s="160"/>
      <c r="F1003" s="160"/>
      <c r="G1003" s="160"/>
      <c r="H1003" s="160"/>
      <c r="I1003" s="160"/>
      <c r="J1003" s="160"/>
      <c r="K1003" s="160"/>
      <c r="L1003" s="160"/>
      <c r="M1003" s="160"/>
      <c r="N1003" s="160"/>
      <c r="O1003" s="160"/>
      <c r="P1003" s="160"/>
    </row>
    <row r="1004" spans="3:16" x14ac:dyDescent="0.2">
      <c r="C1004" s="160"/>
      <c r="D1004" s="160"/>
      <c r="E1004" s="160"/>
      <c r="F1004" s="160"/>
      <c r="G1004" s="160"/>
      <c r="H1004" s="160"/>
      <c r="I1004" s="160"/>
      <c r="J1004" s="160"/>
      <c r="K1004" s="160"/>
      <c r="L1004" s="160"/>
      <c r="M1004" s="160"/>
      <c r="N1004" s="160"/>
      <c r="O1004" s="160"/>
      <c r="P1004" s="160"/>
    </row>
    <row r="1005" spans="3:16" x14ac:dyDescent="0.2">
      <c r="C1005" s="160"/>
      <c r="D1005" s="160"/>
      <c r="E1005" s="160"/>
      <c r="F1005" s="160"/>
      <c r="G1005" s="160"/>
      <c r="H1005" s="160"/>
      <c r="I1005" s="160"/>
      <c r="J1005" s="160"/>
      <c r="K1005" s="160"/>
      <c r="L1005" s="160"/>
      <c r="M1005" s="160"/>
      <c r="N1005" s="160"/>
      <c r="O1005" s="160"/>
      <c r="P1005" s="160"/>
    </row>
    <row r="1006" spans="3:16" x14ac:dyDescent="0.2">
      <c r="C1006" s="160"/>
      <c r="D1006" s="160"/>
      <c r="E1006" s="160"/>
      <c r="F1006" s="160"/>
      <c r="G1006" s="160"/>
      <c r="H1006" s="160"/>
      <c r="I1006" s="160"/>
      <c r="J1006" s="160"/>
      <c r="K1006" s="160"/>
      <c r="L1006" s="160"/>
      <c r="M1006" s="160"/>
      <c r="N1006" s="160"/>
      <c r="O1006" s="160"/>
      <c r="P1006" s="160"/>
    </row>
    <row r="1007" spans="3:16" x14ac:dyDescent="0.2">
      <c r="C1007" s="160"/>
      <c r="D1007" s="160"/>
      <c r="E1007" s="160"/>
      <c r="F1007" s="160"/>
      <c r="G1007" s="160"/>
      <c r="H1007" s="160"/>
      <c r="I1007" s="160"/>
      <c r="J1007" s="160"/>
      <c r="K1007" s="160"/>
      <c r="L1007" s="160"/>
      <c r="M1007" s="160"/>
      <c r="N1007" s="160"/>
      <c r="O1007" s="160"/>
      <c r="P1007" s="160"/>
    </row>
    <row r="1008" spans="3:16" x14ac:dyDescent="0.2">
      <c r="C1008" s="160"/>
      <c r="D1008" s="160"/>
      <c r="E1008" s="160"/>
      <c r="F1008" s="160"/>
      <c r="G1008" s="160"/>
      <c r="H1008" s="160"/>
      <c r="I1008" s="160"/>
      <c r="J1008" s="160"/>
      <c r="K1008" s="160"/>
      <c r="L1008" s="160"/>
      <c r="M1008" s="160"/>
      <c r="N1008" s="160"/>
      <c r="O1008" s="160"/>
      <c r="P1008" s="160"/>
    </row>
    <row r="1009" spans="3:16" x14ac:dyDescent="0.2">
      <c r="C1009" s="160"/>
      <c r="D1009" s="160"/>
      <c r="E1009" s="160"/>
      <c r="F1009" s="160"/>
      <c r="G1009" s="160"/>
      <c r="H1009" s="160"/>
      <c r="I1009" s="160"/>
      <c r="J1009" s="160"/>
      <c r="K1009" s="160"/>
      <c r="L1009" s="160"/>
      <c r="M1009" s="160"/>
      <c r="N1009" s="160"/>
      <c r="O1009" s="160"/>
      <c r="P1009" s="160"/>
    </row>
    <row r="1010" spans="3:16" x14ac:dyDescent="0.2">
      <c r="C1010" s="160"/>
      <c r="D1010" s="160"/>
      <c r="E1010" s="160"/>
      <c r="F1010" s="160"/>
      <c r="G1010" s="160"/>
      <c r="H1010" s="160"/>
      <c r="I1010" s="160"/>
      <c r="J1010" s="160"/>
      <c r="K1010" s="160"/>
      <c r="L1010" s="160"/>
      <c r="M1010" s="160"/>
      <c r="N1010" s="160"/>
      <c r="O1010" s="160"/>
      <c r="P1010" s="160"/>
    </row>
    <row r="1011" spans="3:16" x14ac:dyDescent="0.2">
      <c r="C1011" s="160"/>
      <c r="D1011" s="160"/>
      <c r="E1011" s="160"/>
      <c r="F1011" s="160"/>
      <c r="G1011" s="160"/>
      <c r="H1011" s="160"/>
      <c r="I1011" s="160"/>
      <c r="J1011" s="160"/>
      <c r="K1011" s="160"/>
      <c r="L1011" s="160"/>
      <c r="M1011" s="160"/>
      <c r="N1011" s="160"/>
      <c r="O1011" s="160"/>
      <c r="P1011" s="160"/>
    </row>
    <row r="1012" spans="3:16" x14ac:dyDescent="0.2">
      <c r="C1012" s="160"/>
      <c r="D1012" s="160"/>
      <c r="E1012" s="160"/>
      <c r="F1012" s="160"/>
      <c r="G1012" s="160"/>
      <c r="H1012" s="160"/>
      <c r="I1012" s="160"/>
      <c r="J1012" s="160"/>
      <c r="K1012" s="160"/>
      <c r="L1012" s="160"/>
      <c r="M1012" s="160"/>
      <c r="N1012" s="160"/>
      <c r="O1012" s="160"/>
      <c r="P1012" s="160"/>
    </row>
    <row r="1013" spans="3:16" x14ac:dyDescent="0.2">
      <c r="C1013" s="160"/>
      <c r="D1013" s="160"/>
      <c r="E1013" s="160"/>
      <c r="F1013" s="160"/>
      <c r="G1013" s="160"/>
      <c r="H1013" s="160"/>
      <c r="I1013" s="160"/>
      <c r="J1013" s="160"/>
      <c r="K1013" s="160"/>
      <c r="L1013" s="160"/>
      <c r="M1013" s="160"/>
      <c r="N1013" s="160"/>
      <c r="O1013" s="160"/>
      <c r="P1013" s="160"/>
    </row>
    <row r="1014" spans="3:16" x14ac:dyDescent="0.2">
      <c r="C1014" s="160"/>
      <c r="D1014" s="160"/>
      <c r="E1014" s="160"/>
      <c r="F1014" s="160"/>
      <c r="G1014" s="160"/>
      <c r="H1014" s="160"/>
      <c r="I1014" s="160"/>
      <c r="J1014" s="160"/>
      <c r="K1014" s="160"/>
      <c r="L1014" s="160"/>
      <c r="M1014" s="160"/>
      <c r="N1014" s="160"/>
      <c r="O1014" s="160"/>
      <c r="P1014" s="160"/>
    </row>
    <row r="1015" spans="3:16" x14ac:dyDescent="0.2">
      <c r="C1015" s="160"/>
      <c r="D1015" s="160"/>
      <c r="E1015" s="160"/>
      <c r="F1015" s="160"/>
      <c r="G1015" s="160"/>
      <c r="H1015" s="160"/>
      <c r="I1015" s="160"/>
      <c r="J1015" s="160"/>
      <c r="K1015" s="160"/>
      <c r="L1015" s="160"/>
      <c r="M1015" s="160"/>
      <c r="N1015" s="160"/>
      <c r="O1015" s="160"/>
      <c r="P1015" s="160"/>
    </row>
    <row r="1016" spans="3:16" x14ac:dyDescent="0.2">
      <c r="C1016" s="160"/>
      <c r="D1016" s="160"/>
      <c r="E1016" s="160"/>
      <c r="F1016" s="160"/>
      <c r="G1016" s="160"/>
      <c r="H1016" s="160"/>
      <c r="I1016" s="160"/>
      <c r="J1016" s="160"/>
      <c r="K1016" s="160"/>
      <c r="L1016" s="160"/>
      <c r="M1016" s="160"/>
      <c r="N1016" s="160"/>
      <c r="O1016" s="160"/>
      <c r="P1016" s="160"/>
    </row>
    <row r="1017" spans="3:16" x14ac:dyDescent="0.2">
      <c r="C1017" s="160"/>
      <c r="D1017" s="160"/>
      <c r="E1017" s="160"/>
      <c r="F1017" s="160"/>
      <c r="G1017" s="160"/>
      <c r="H1017" s="160"/>
      <c r="I1017" s="160"/>
      <c r="J1017" s="160"/>
      <c r="K1017" s="160"/>
      <c r="L1017" s="160"/>
      <c r="M1017" s="160"/>
      <c r="N1017" s="160"/>
      <c r="O1017" s="160"/>
      <c r="P1017" s="160"/>
    </row>
    <row r="1018" spans="3:16" x14ac:dyDescent="0.2">
      <c r="C1018" s="160"/>
      <c r="D1018" s="160"/>
      <c r="E1018" s="160"/>
      <c r="F1018" s="160"/>
      <c r="G1018" s="160"/>
      <c r="H1018" s="160"/>
      <c r="I1018" s="160"/>
      <c r="J1018" s="160"/>
      <c r="K1018" s="160"/>
      <c r="L1018" s="160"/>
      <c r="M1018" s="160"/>
      <c r="N1018" s="160"/>
      <c r="O1018" s="160"/>
      <c r="P1018" s="160"/>
    </row>
    <row r="1019" spans="3:16" x14ac:dyDescent="0.2">
      <c r="C1019" s="160"/>
      <c r="D1019" s="160"/>
      <c r="E1019" s="160"/>
      <c r="F1019" s="160"/>
      <c r="G1019" s="160"/>
      <c r="H1019" s="160"/>
      <c r="I1019" s="160"/>
      <c r="J1019" s="160"/>
      <c r="K1019" s="160"/>
      <c r="L1019" s="160"/>
      <c r="M1019" s="160"/>
      <c r="N1019" s="160"/>
      <c r="O1019" s="160"/>
      <c r="P1019" s="160"/>
    </row>
    <row r="1020" spans="3:16" x14ac:dyDescent="0.2">
      <c r="C1020" s="160"/>
      <c r="D1020" s="160"/>
      <c r="E1020" s="160"/>
      <c r="F1020" s="160"/>
      <c r="G1020" s="160"/>
      <c r="H1020" s="160"/>
      <c r="I1020" s="160"/>
      <c r="J1020" s="160"/>
      <c r="K1020" s="160"/>
      <c r="L1020" s="160"/>
      <c r="M1020" s="160"/>
      <c r="N1020" s="160"/>
      <c r="O1020" s="160"/>
      <c r="P1020" s="160"/>
    </row>
    <row r="1021" spans="3:16" x14ac:dyDescent="0.2">
      <c r="C1021" s="160"/>
      <c r="D1021" s="160"/>
      <c r="E1021" s="160"/>
      <c r="F1021" s="160"/>
      <c r="G1021" s="160"/>
      <c r="H1021" s="160"/>
      <c r="I1021" s="160"/>
      <c r="J1021" s="160"/>
      <c r="K1021" s="160"/>
      <c r="L1021" s="160"/>
      <c r="M1021" s="160"/>
      <c r="N1021" s="160"/>
      <c r="O1021" s="160"/>
      <c r="P1021" s="160"/>
    </row>
    <row r="1022" spans="3:16" x14ac:dyDescent="0.2">
      <c r="C1022" s="160"/>
      <c r="D1022" s="160"/>
      <c r="E1022" s="160"/>
      <c r="F1022" s="160"/>
      <c r="G1022" s="160"/>
      <c r="H1022" s="160"/>
      <c r="I1022" s="160"/>
      <c r="J1022" s="160"/>
      <c r="K1022" s="160"/>
      <c r="L1022" s="160"/>
      <c r="M1022" s="160"/>
      <c r="N1022" s="160"/>
      <c r="O1022" s="160"/>
      <c r="P1022" s="160"/>
    </row>
    <row r="1023" spans="3:16" x14ac:dyDescent="0.2">
      <c r="C1023" s="160"/>
      <c r="D1023" s="160"/>
      <c r="E1023" s="160"/>
      <c r="F1023" s="160"/>
      <c r="G1023" s="160"/>
      <c r="H1023" s="160"/>
      <c r="I1023" s="160"/>
      <c r="J1023" s="160"/>
      <c r="K1023" s="160"/>
      <c r="L1023" s="160"/>
      <c r="M1023" s="160"/>
      <c r="N1023" s="160"/>
      <c r="O1023" s="160"/>
      <c r="P1023" s="160"/>
    </row>
    <row r="1024" spans="3:16" x14ac:dyDescent="0.2">
      <c r="C1024" s="160"/>
      <c r="D1024" s="160"/>
      <c r="E1024" s="160"/>
      <c r="F1024" s="160"/>
      <c r="G1024" s="160"/>
      <c r="H1024" s="160"/>
      <c r="I1024" s="160"/>
      <c r="J1024" s="160"/>
      <c r="K1024" s="160"/>
      <c r="L1024" s="160"/>
      <c r="M1024" s="160"/>
      <c r="N1024" s="160"/>
      <c r="O1024" s="160"/>
      <c r="P1024" s="160"/>
    </row>
    <row r="1025" spans="3:16" x14ac:dyDescent="0.2">
      <c r="C1025" s="160"/>
      <c r="D1025" s="160"/>
      <c r="E1025" s="160"/>
      <c r="F1025" s="160"/>
      <c r="G1025" s="160"/>
      <c r="H1025" s="160"/>
      <c r="I1025" s="160"/>
      <c r="J1025" s="160"/>
      <c r="K1025" s="160"/>
      <c r="L1025" s="160"/>
      <c r="M1025" s="160"/>
      <c r="N1025" s="160"/>
      <c r="O1025" s="160"/>
      <c r="P1025" s="160"/>
    </row>
    <row r="1026" spans="3:16" x14ac:dyDescent="0.2">
      <c r="C1026" s="160"/>
      <c r="D1026" s="160"/>
      <c r="E1026" s="160"/>
      <c r="F1026" s="160"/>
      <c r="G1026" s="160"/>
      <c r="H1026" s="160"/>
      <c r="I1026" s="160"/>
      <c r="J1026" s="160"/>
      <c r="K1026" s="160"/>
      <c r="L1026" s="160"/>
      <c r="M1026" s="160"/>
      <c r="N1026" s="160"/>
      <c r="O1026" s="160"/>
      <c r="P1026" s="160"/>
    </row>
    <row r="1027" spans="3:16" x14ac:dyDescent="0.2">
      <c r="C1027" s="160"/>
      <c r="D1027" s="160"/>
      <c r="E1027" s="160"/>
      <c r="F1027" s="160"/>
      <c r="G1027" s="160"/>
      <c r="H1027" s="160"/>
      <c r="I1027" s="160"/>
      <c r="J1027" s="160"/>
      <c r="K1027" s="160"/>
      <c r="L1027" s="160"/>
      <c r="M1027" s="160"/>
      <c r="N1027" s="160"/>
      <c r="O1027" s="160"/>
      <c r="P1027" s="160"/>
    </row>
    <row r="1028" spans="3:16" x14ac:dyDescent="0.2">
      <c r="C1028" s="160"/>
      <c r="D1028" s="160"/>
      <c r="E1028" s="160"/>
      <c r="F1028" s="160"/>
      <c r="G1028" s="160"/>
      <c r="H1028" s="160"/>
      <c r="I1028" s="160"/>
      <c r="J1028" s="160"/>
      <c r="K1028" s="160"/>
      <c r="L1028" s="160"/>
      <c r="M1028" s="160"/>
      <c r="N1028" s="160"/>
      <c r="O1028" s="160"/>
      <c r="P1028" s="160"/>
    </row>
    <row r="1029" spans="3:16" x14ac:dyDescent="0.2">
      <c r="C1029" s="160"/>
      <c r="D1029" s="160"/>
      <c r="E1029" s="160"/>
      <c r="F1029" s="160"/>
      <c r="G1029" s="160"/>
      <c r="H1029" s="160"/>
      <c r="I1029" s="160"/>
      <c r="J1029" s="160"/>
      <c r="K1029" s="160"/>
      <c r="L1029" s="160"/>
      <c r="M1029" s="160"/>
      <c r="N1029" s="160"/>
      <c r="O1029" s="160"/>
      <c r="P1029" s="160"/>
    </row>
    <row r="1030" spans="3:16" x14ac:dyDescent="0.2">
      <c r="C1030" s="160"/>
      <c r="D1030" s="160"/>
      <c r="E1030" s="160"/>
      <c r="F1030" s="160"/>
      <c r="G1030" s="160"/>
      <c r="H1030" s="160"/>
      <c r="I1030" s="160"/>
      <c r="J1030" s="160"/>
      <c r="K1030" s="160"/>
      <c r="L1030" s="160"/>
      <c r="M1030" s="160"/>
      <c r="N1030" s="160"/>
      <c r="O1030" s="160"/>
      <c r="P1030" s="160"/>
    </row>
    <row r="1031" spans="3:16" x14ac:dyDescent="0.2">
      <c r="C1031" s="160"/>
      <c r="D1031" s="160"/>
      <c r="E1031" s="160"/>
      <c r="F1031" s="160"/>
      <c r="G1031" s="160"/>
      <c r="H1031" s="160"/>
      <c r="I1031" s="160"/>
      <c r="J1031" s="160"/>
      <c r="K1031" s="160"/>
      <c r="L1031" s="160"/>
      <c r="M1031" s="160"/>
      <c r="N1031" s="160"/>
      <c r="O1031" s="160"/>
      <c r="P1031" s="160"/>
    </row>
    <row r="1032" spans="3:16" x14ac:dyDescent="0.2"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</row>
    <row r="1033" spans="3:16" x14ac:dyDescent="0.2">
      <c r="C1033" s="160"/>
      <c r="D1033" s="160"/>
      <c r="E1033" s="160"/>
      <c r="F1033" s="160"/>
      <c r="G1033" s="160"/>
      <c r="H1033" s="160"/>
      <c r="I1033" s="160"/>
      <c r="J1033" s="160"/>
      <c r="K1033" s="160"/>
      <c r="L1033" s="160"/>
      <c r="M1033" s="160"/>
      <c r="N1033" s="160"/>
      <c r="O1033" s="160"/>
      <c r="P1033" s="160"/>
    </row>
    <row r="1034" spans="3:16" x14ac:dyDescent="0.2">
      <c r="C1034" s="160"/>
      <c r="D1034" s="160"/>
      <c r="E1034" s="160"/>
      <c r="F1034" s="160"/>
      <c r="G1034" s="160"/>
      <c r="H1034" s="160"/>
      <c r="I1034" s="160"/>
      <c r="J1034" s="160"/>
      <c r="K1034" s="160"/>
      <c r="L1034" s="160"/>
      <c r="M1034" s="160"/>
      <c r="N1034" s="160"/>
      <c r="O1034" s="160"/>
      <c r="P1034" s="160"/>
    </row>
    <row r="1035" spans="3:16" x14ac:dyDescent="0.2">
      <c r="C1035" s="160"/>
      <c r="D1035" s="160"/>
      <c r="E1035" s="160"/>
      <c r="F1035" s="160"/>
      <c r="G1035" s="160"/>
      <c r="H1035" s="160"/>
      <c r="I1035" s="160"/>
      <c r="J1035" s="160"/>
      <c r="K1035" s="160"/>
      <c r="L1035" s="160"/>
      <c r="M1035" s="160"/>
      <c r="N1035" s="160"/>
      <c r="O1035" s="160"/>
      <c r="P1035" s="160"/>
    </row>
    <row r="1036" spans="3:16" x14ac:dyDescent="0.2">
      <c r="C1036" s="160"/>
      <c r="D1036" s="160"/>
      <c r="E1036" s="160"/>
      <c r="F1036" s="160"/>
      <c r="G1036" s="160"/>
      <c r="H1036" s="160"/>
      <c r="I1036" s="160"/>
      <c r="J1036" s="160"/>
      <c r="K1036" s="160"/>
      <c r="L1036" s="160"/>
      <c r="M1036" s="160"/>
      <c r="N1036" s="160"/>
      <c r="O1036" s="160"/>
      <c r="P1036" s="160"/>
    </row>
    <row r="1037" spans="3:16" x14ac:dyDescent="0.2">
      <c r="C1037" s="160"/>
      <c r="D1037" s="160"/>
      <c r="E1037" s="160"/>
      <c r="F1037" s="160"/>
      <c r="G1037" s="160"/>
      <c r="H1037" s="160"/>
      <c r="I1037" s="160"/>
      <c r="J1037" s="160"/>
      <c r="K1037" s="160"/>
      <c r="L1037" s="160"/>
      <c r="M1037" s="160"/>
      <c r="N1037" s="160"/>
      <c r="O1037" s="160"/>
      <c r="P1037" s="160"/>
    </row>
    <row r="1038" spans="3:16" x14ac:dyDescent="0.2">
      <c r="C1038" s="160"/>
      <c r="D1038" s="160"/>
      <c r="E1038" s="160"/>
      <c r="F1038" s="160"/>
      <c r="G1038" s="160"/>
      <c r="H1038" s="160"/>
      <c r="I1038" s="160"/>
      <c r="J1038" s="160"/>
      <c r="K1038" s="160"/>
      <c r="L1038" s="160"/>
      <c r="M1038" s="160"/>
      <c r="N1038" s="160"/>
      <c r="O1038" s="160"/>
      <c r="P1038" s="160"/>
    </row>
    <row r="1039" spans="3:16" x14ac:dyDescent="0.2">
      <c r="C1039" s="160"/>
      <c r="D1039" s="160"/>
      <c r="E1039" s="160"/>
      <c r="F1039" s="160"/>
      <c r="G1039" s="160"/>
      <c r="H1039" s="160"/>
      <c r="I1039" s="160"/>
      <c r="J1039" s="160"/>
      <c r="K1039" s="160"/>
      <c r="L1039" s="160"/>
      <c r="M1039" s="160"/>
      <c r="N1039" s="160"/>
      <c r="O1039" s="160"/>
      <c r="P1039" s="160"/>
    </row>
    <row r="1040" spans="3:16" x14ac:dyDescent="0.2">
      <c r="C1040" s="160"/>
      <c r="D1040" s="160"/>
      <c r="E1040" s="160"/>
      <c r="F1040" s="160"/>
      <c r="G1040" s="160"/>
      <c r="H1040" s="160"/>
      <c r="I1040" s="160"/>
      <c r="J1040" s="160"/>
      <c r="K1040" s="160"/>
      <c r="L1040" s="160"/>
      <c r="M1040" s="160"/>
      <c r="N1040" s="160"/>
      <c r="O1040" s="160"/>
      <c r="P1040" s="160"/>
    </row>
    <row r="1041" spans="3:16" x14ac:dyDescent="0.2">
      <c r="C1041" s="160"/>
      <c r="D1041" s="160"/>
      <c r="E1041" s="160"/>
      <c r="F1041" s="160"/>
      <c r="G1041" s="160"/>
      <c r="H1041" s="160"/>
      <c r="I1041" s="160"/>
      <c r="J1041" s="160"/>
      <c r="K1041" s="160"/>
      <c r="L1041" s="160"/>
      <c r="M1041" s="160"/>
      <c r="N1041" s="160"/>
      <c r="O1041" s="160"/>
      <c r="P1041" s="160"/>
    </row>
    <row r="1042" spans="3:16" x14ac:dyDescent="0.2">
      <c r="C1042" s="160"/>
      <c r="D1042" s="160"/>
      <c r="E1042" s="160"/>
      <c r="F1042" s="160"/>
      <c r="G1042" s="160"/>
      <c r="H1042" s="160"/>
      <c r="I1042" s="160"/>
      <c r="J1042" s="160"/>
      <c r="K1042" s="160"/>
      <c r="L1042" s="160"/>
      <c r="M1042" s="160"/>
      <c r="N1042" s="160"/>
      <c r="O1042" s="160"/>
      <c r="P1042" s="160"/>
    </row>
    <row r="1043" spans="3:16" x14ac:dyDescent="0.2">
      <c r="C1043" s="160"/>
      <c r="D1043" s="160"/>
      <c r="E1043" s="160"/>
      <c r="F1043" s="160"/>
      <c r="G1043" s="160"/>
      <c r="H1043" s="160"/>
      <c r="I1043" s="160"/>
      <c r="J1043" s="160"/>
      <c r="K1043" s="160"/>
      <c r="L1043" s="160"/>
      <c r="M1043" s="160"/>
      <c r="N1043" s="160"/>
      <c r="O1043" s="160"/>
      <c r="P1043" s="160"/>
    </row>
    <row r="1044" spans="3:16" x14ac:dyDescent="0.2">
      <c r="C1044" s="160"/>
      <c r="D1044" s="160"/>
      <c r="E1044" s="160"/>
      <c r="F1044" s="160"/>
      <c r="G1044" s="160"/>
      <c r="H1044" s="160"/>
      <c r="I1044" s="160"/>
      <c r="J1044" s="160"/>
      <c r="K1044" s="160"/>
      <c r="L1044" s="160"/>
      <c r="M1044" s="160"/>
      <c r="N1044" s="160"/>
      <c r="O1044" s="160"/>
      <c r="P1044" s="160"/>
    </row>
    <row r="1045" spans="3:16" x14ac:dyDescent="0.2">
      <c r="C1045" s="160"/>
      <c r="D1045" s="160"/>
      <c r="E1045" s="160"/>
      <c r="F1045" s="160"/>
      <c r="G1045" s="160"/>
      <c r="H1045" s="160"/>
      <c r="I1045" s="160"/>
      <c r="J1045" s="160"/>
      <c r="K1045" s="160"/>
      <c r="L1045" s="160"/>
      <c r="M1045" s="160"/>
      <c r="N1045" s="160"/>
      <c r="O1045" s="160"/>
      <c r="P1045" s="160"/>
    </row>
    <row r="1046" spans="3:16" x14ac:dyDescent="0.2">
      <c r="C1046" s="160"/>
      <c r="D1046" s="160"/>
      <c r="E1046" s="160"/>
      <c r="F1046" s="160"/>
      <c r="G1046" s="160"/>
      <c r="H1046" s="160"/>
      <c r="I1046" s="160"/>
      <c r="J1046" s="160"/>
      <c r="K1046" s="160"/>
      <c r="L1046" s="160"/>
      <c r="M1046" s="160"/>
      <c r="N1046" s="160"/>
      <c r="O1046" s="160"/>
      <c r="P1046" s="160"/>
    </row>
    <row r="1047" spans="3:16" x14ac:dyDescent="0.2">
      <c r="C1047" s="160"/>
      <c r="D1047" s="160"/>
      <c r="E1047" s="160"/>
      <c r="F1047" s="160"/>
      <c r="G1047" s="160"/>
      <c r="H1047" s="160"/>
      <c r="I1047" s="160"/>
      <c r="J1047" s="160"/>
      <c r="K1047" s="160"/>
      <c r="L1047" s="160"/>
      <c r="M1047" s="160"/>
      <c r="N1047" s="160"/>
      <c r="O1047" s="160"/>
      <c r="P1047" s="160"/>
    </row>
    <row r="1048" spans="3:16" x14ac:dyDescent="0.2">
      <c r="C1048" s="160"/>
      <c r="D1048" s="160"/>
      <c r="E1048" s="160"/>
      <c r="F1048" s="160"/>
      <c r="G1048" s="160"/>
      <c r="H1048" s="160"/>
      <c r="I1048" s="160"/>
      <c r="J1048" s="160"/>
      <c r="K1048" s="160"/>
      <c r="L1048" s="160"/>
      <c r="M1048" s="160"/>
      <c r="N1048" s="160"/>
      <c r="O1048" s="160"/>
      <c r="P1048" s="160"/>
    </row>
    <row r="1049" spans="3:16" x14ac:dyDescent="0.2">
      <c r="C1049" s="160"/>
      <c r="D1049" s="160"/>
      <c r="E1049" s="160"/>
      <c r="F1049" s="160"/>
      <c r="G1049" s="160"/>
      <c r="H1049" s="160"/>
      <c r="I1049" s="160"/>
      <c r="J1049" s="160"/>
      <c r="K1049" s="160"/>
      <c r="L1049" s="160"/>
      <c r="M1049" s="160"/>
      <c r="N1049" s="160"/>
      <c r="O1049" s="160"/>
      <c r="P1049" s="160"/>
    </row>
    <row r="1050" spans="3:16" x14ac:dyDescent="0.2">
      <c r="C1050" s="160"/>
      <c r="D1050" s="160"/>
      <c r="E1050" s="160"/>
      <c r="F1050" s="160"/>
      <c r="G1050" s="160"/>
      <c r="H1050" s="160"/>
      <c r="I1050" s="160"/>
      <c r="J1050" s="160"/>
      <c r="K1050" s="160"/>
      <c r="L1050" s="160"/>
      <c r="M1050" s="160"/>
      <c r="N1050" s="160"/>
      <c r="O1050" s="160"/>
      <c r="P1050" s="160"/>
    </row>
    <row r="1051" spans="3:16" x14ac:dyDescent="0.2">
      <c r="C1051" s="160"/>
      <c r="D1051" s="160"/>
      <c r="E1051" s="160"/>
      <c r="F1051" s="160"/>
      <c r="G1051" s="160"/>
      <c r="H1051" s="160"/>
      <c r="I1051" s="160"/>
      <c r="J1051" s="160"/>
      <c r="K1051" s="160"/>
      <c r="L1051" s="160"/>
      <c r="M1051" s="160"/>
      <c r="N1051" s="160"/>
      <c r="O1051" s="160"/>
      <c r="P1051" s="160"/>
    </row>
    <row r="1052" spans="3:16" x14ac:dyDescent="0.2">
      <c r="C1052" s="160"/>
      <c r="D1052" s="160"/>
      <c r="E1052" s="160"/>
      <c r="F1052" s="160"/>
      <c r="G1052" s="160"/>
      <c r="H1052" s="160"/>
      <c r="I1052" s="160"/>
      <c r="J1052" s="160"/>
      <c r="K1052" s="160"/>
      <c r="L1052" s="160"/>
      <c r="M1052" s="160"/>
      <c r="N1052" s="160"/>
      <c r="O1052" s="160"/>
      <c r="P1052" s="160"/>
    </row>
    <row r="1053" spans="3:16" x14ac:dyDescent="0.2">
      <c r="C1053" s="160"/>
      <c r="D1053" s="160"/>
      <c r="E1053" s="160"/>
      <c r="F1053" s="160"/>
      <c r="G1053" s="160"/>
      <c r="H1053" s="160"/>
      <c r="I1053" s="160"/>
      <c r="J1053" s="160"/>
      <c r="K1053" s="160"/>
      <c r="L1053" s="160"/>
      <c r="M1053" s="160"/>
      <c r="N1053" s="160"/>
      <c r="O1053" s="160"/>
      <c r="P1053" s="160"/>
    </row>
    <row r="1054" spans="3:16" x14ac:dyDescent="0.2">
      <c r="C1054" s="160"/>
      <c r="D1054" s="160"/>
      <c r="E1054" s="160"/>
      <c r="F1054" s="160"/>
      <c r="G1054" s="160"/>
      <c r="H1054" s="160"/>
      <c r="I1054" s="160"/>
      <c r="J1054" s="160"/>
      <c r="K1054" s="160"/>
      <c r="L1054" s="160"/>
      <c r="M1054" s="160"/>
      <c r="N1054" s="160"/>
      <c r="O1054" s="160"/>
      <c r="P1054" s="160"/>
    </row>
    <row r="1055" spans="3:16" x14ac:dyDescent="0.2">
      <c r="C1055" s="160"/>
      <c r="D1055" s="160"/>
      <c r="E1055" s="160"/>
      <c r="F1055" s="160"/>
      <c r="G1055" s="160"/>
      <c r="H1055" s="160"/>
      <c r="I1055" s="160"/>
      <c r="J1055" s="160"/>
      <c r="K1055" s="160"/>
      <c r="L1055" s="160"/>
      <c r="M1055" s="160"/>
      <c r="N1055" s="160"/>
      <c r="O1055" s="160"/>
      <c r="P1055" s="160"/>
    </row>
    <row r="1056" spans="3:16" x14ac:dyDescent="0.2">
      <c r="C1056" s="160"/>
      <c r="D1056" s="160"/>
      <c r="E1056" s="160"/>
      <c r="F1056" s="160"/>
      <c r="G1056" s="160"/>
      <c r="H1056" s="160"/>
      <c r="I1056" s="160"/>
      <c r="J1056" s="160"/>
      <c r="K1056" s="160"/>
      <c r="L1056" s="160"/>
      <c r="M1056" s="160"/>
      <c r="N1056" s="160"/>
      <c r="O1056" s="160"/>
      <c r="P1056" s="160"/>
    </row>
    <row r="1057" spans="3:16" x14ac:dyDescent="0.2">
      <c r="C1057" s="160"/>
      <c r="D1057" s="160"/>
      <c r="E1057" s="160"/>
      <c r="F1057" s="160"/>
      <c r="G1057" s="160"/>
      <c r="H1057" s="160"/>
      <c r="I1057" s="160"/>
      <c r="J1057" s="160"/>
      <c r="K1057" s="160"/>
      <c r="L1057" s="160"/>
      <c r="M1057" s="160"/>
      <c r="N1057" s="160"/>
      <c r="O1057" s="160"/>
      <c r="P1057" s="160"/>
    </row>
    <row r="1058" spans="3:16" x14ac:dyDescent="0.2">
      <c r="C1058" s="160"/>
      <c r="D1058" s="160"/>
      <c r="E1058" s="160"/>
      <c r="F1058" s="160"/>
      <c r="G1058" s="160"/>
      <c r="H1058" s="160"/>
      <c r="I1058" s="160"/>
      <c r="J1058" s="160"/>
      <c r="K1058" s="160"/>
      <c r="L1058" s="160"/>
      <c r="M1058" s="160"/>
      <c r="N1058" s="160"/>
      <c r="O1058" s="160"/>
      <c r="P1058" s="160"/>
    </row>
    <row r="1059" spans="3:16" x14ac:dyDescent="0.2">
      <c r="C1059" s="160"/>
      <c r="D1059" s="160"/>
      <c r="E1059" s="160"/>
      <c r="F1059" s="160"/>
      <c r="G1059" s="160"/>
      <c r="H1059" s="160"/>
      <c r="I1059" s="160"/>
      <c r="J1059" s="160"/>
      <c r="K1059" s="160"/>
      <c r="L1059" s="160"/>
      <c r="M1059" s="160"/>
      <c r="N1059" s="160"/>
      <c r="O1059" s="160"/>
      <c r="P1059" s="160"/>
    </row>
    <row r="1060" spans="3:16" x14ac:dyDescent="0.2">
      <c r="C1060" s="160"/>
      <c r="D1060" s="160"/>
      <c r="E1060" s="160"/>
      <c r="F1060" s="160"/>
      <c r="G1060" s="160"/>
      <c r="H1060" s="160"/>
      <c r="I1060" s="160"/>
      <c r="J1060" s="160"/>
      <c r="K1060" s="160"/>
      <c r="L1060" s="160"/>
      <c r="M1060" s="160"/>
      <c r="N1060" s="160"/>
      <c r="O1060" s="160"/>
      <c r="P1060" s="160"/>
    </row>
    <row r="1061" spans="3:16" x14ac:dyDescent="0.2">
      <c r="C1061" s="160"/>
      <c r="D1061" s="160"/>
      <c r="E1061" s="160"/>
      <c r="F1061" s="160"/>
      <c r="G1061" s="160"/>
      <c r="H1061" s="160"/>
      <c r="I1061" s="160"/>
      <c r="J1061" s="160"/>
      <c r="K1061" s="160"/>
      <c r="L1061" s="160"/>
      <c r="M1061" s="160"/>
      <c r="N1061" s="160"/>
      <c r="O1061" s="160"/>
      <c r="P1061" s="160"/>
    </row>
    <row r="1062" spans="3:16" x14ac:dyDescent="0.2">
      <c r="C1062" s="160"/>
      <c r="D1062" s="160"/>
      <c r="E1062" s="160"/>
      <c r="F1062" s="160"/>
      <c r="G1062" s="160"/>
      <c r="H1062" s="160"/>
      <c r="I1062" s="160"/>
      <c r="J1062" s="160"/>
      <c r="K1062" s="160"/>
      <c r="L1062" s="160"/>
      <c r="M1062" s="160"/>
      <c r="N1062" s="160"/>
      <c r="O1062" s="160"/>
      <c r="P1062" s="160"/>
    </row>
    <row r="1063" spans="3:16" x14ac:dyDescent="0.2">
      <c r="C1063" s="160"/>
      <c r="D1063" s="160"/>
      <c r="E1063" s="160"/>
      <c r="F1063" s="160"/>
      <c r="G1063" s="160"/>
      <c r="H1063" s="160"/>
      <c r="I1063" s="160"/>
      <c r="J1063" s="160"/>
      <c r="K1063" s="160"/>
      <c r="L1063" s="160"/>
      <c r="M1063" s="160"/>
      <c r="N1063" s="160"/>
      <c r="O1063" s="160"/>
      <c r="P1063" s="160"/>
    </row>
    <row r="1064" spans="3:16" x14ac:dyDescent="0.2">
      <c r="C1064" s="160"/>
      <c r="D1064" s="160"/>
      <c r="E1064" s="160"/>
      <c r="F1064" s="160"/>
      <c r="G1064" s="160"/>
      <c r="H1064" s="160"/>
      <c r="I1064" s="160"/>
      <c r="J1064" s="160"/>
      <c r="K1064" s="160"/>
      <c r="L1064" s="160"/>
      <c r="M1064" s="160"/>
      <c r="N1064" s="160"/>
      <c r="O1064" s="160"/>
      <c r="P1064" s="160"/>
    </row>
    <row r="1065" spans="3:16" x14ac:dyDescent="0.2">
      <c r="C1065" s="160"/>
      <c r="D1065" s="160"/>
      <c r="E1065" s="160"/>
      <c r="F1065" s="160"/>
      <c r="G1065" s="160"/>
      <c r="H1065" s="160"/>
      <c r="I1065" s="160"/>
      <c r="J1065" s="160"/>
      <c r="K1065" s="160"/>
      <c r="L1065" s="160"/>
      <c r="M1065" s="160"/>
      <c r="N1065" s="160"/>
      <c r="O1065" s="160"/>
      <c r="P1065" s="160"/>
    </row>
    <row r="1066" spans="3:16" x14ac:dyDescent="0.2">
      <c r="C1066" s="160"/>
      <c r="D1066" s="160"/>
      <c r="E1066" s="160"/>
      <c r="F1066" s="160"/>
      <c r="G1066" s="160"/>
      <c r="H1066" s="160"/>
      <c r="I1066" s="160"/>
      <c r="J1066" s="160"/>
      <c r="K1066" s="160"/>
      <c r="L1066" s="160"/>
      <c r="M1066" s="160"/>
      <c r="N1066" s="160"/>
      <c r="O1066" s="160"/>
      <c r="P1066" s="160"/>
    </row>
    <row r="1067" spans="3:16" x14ac:dyDescent="0.2">
      <c r="C1067" s="160"/>
      <c r="D1067" s="160"/>
      <c r="E1067" s="160"/>
      <c r="F1067" s="160"/>
      <c r="G1067" s="160"/>
      <c r="H1067" s="160"/>
      <c r="I1067" s="160"/>
      <c r="J1067" s="160"/>
      <c r="K1067" s="160"/>
      <c r="L1067" s="160"/>
      <c r="M1067" s="160"/>
      <c r="N1067" s="160"/>
      <c r="O1067" s="160"/>
      <c r="P1067" s="160"/>
    </row>
    <row r="1068" spans="3:16" x14ac:dyDescent="0.2">
      <c r="C1068" s="160"/>
      <c r="D1068" s="160"/>
      <c r="E1068" s="160"/>
      <c r="F1068" s="160"/>
      <c r="G1068" s="160"/>
      <c r="H1068" s="160"/>
      <c r="I1068" s="160"/>
      <c r="J1068" s="160"/>
      <c r="K1068" s="160"/>
      <c r="L1068" s="160"/>
      <c r="M1068" s="160"/>
      <c r="N1068" s="160"/>
      <c r="O1068" s="160"/>
      <c r="P1068" s="160"/>
    </row>
    <row r="1069" spans="3:16" x14ac:dyDescent="0.2">
      <c r="C1069" s="160"/>
      <c r="D1069" s="160"/>
      <c r="E1069" s="160"/>
      <c r="F1069" s="160"/>
      <c r="G1069" s="160"/>
      <c r="H1069" s="160"/>
      <c r="I1069" s="160"/>
      <c r="J1069" s="160"/>
      <c r="K1069" s="160"/>
      <c r="L1069" s="160"/>
      <c r="M1069" s="160"/>
      <c r="N1069" s="160"/>
      <c r="O1069" s="160"/>
      <c r="P1069" s="160"/>
    </row>
    <row r="1070" spans="3:16" x14ac:dyDescent="0.2">
      <c r="C1070" s="160"/>
      <c r="D1070" s="160"/>
      <c r="E1070" s="160"/>
      <c r="F1070" s="160"/>
      <c r="G1070" s="160"/>
      <c r="H1070" s="160"/>
      <c r="I1070" s="160"/>
      <c r="J1070" s="160"/>
      <c r="K1070" s="160"/>
      <c r="L1070" s="160"/>
      <c r="M1070" s="160"/>
      <c r="N1070" s="160"/>
      <c r="O1070" s="160"/>
      <c r="P1070" s="160"/>
    </row>
    <row r="1071" spans="3:16" x14ac:dyDescent="0.2">
      <c r="C1071" s="160"/>
      <c r="D1071" s="160"/>
      <c r="E1071" s="160"/>
      <c r="F1071" s="160"/>
      <c r="G1071" s="160"/>
      <c r="H1071" s="160"/>
      <c r="I1071" s="160"/>
      <c r="J1071" s="160"/>
      <c r="K1071" s="160"/>
      <c r="L1071" s="160"/>
      <c r="M1071" s="160"/>
      <c r="N1071" s="160"/>
      <c r="O1071" s="160"/>
      <c r="P1071" s="160"/>
    </row>
    <row r="1072" spans="3:16" x14ac:dyDescent="0.2">
      <c r="C1072" s="160"/>
      <c r="D1072" s="160"/>
      <c r="E1072" s="160"/>
      <c r="F1072" s="160"/>
      <c r="G1072" s="160"/>
      <c r="H1072" s="160"/>
      <c r="I1072" s="160"/>
      <c r="J1072" s="160"/>
      <c r="K1072" s="160"/>
      <c r="L1072" s="160"/>
      <c r="M1072" s="160"/>
      <c r="N1072" s="160"/>
      <c r="O1072" s="160"/>
      <c r="P1072" s="160"/>
    </row>
    <row r="1073" spans="3:16" x14ac:dyDescent="0.2">
      <c r="C1073" s="160"/>
      <c r="D1073" s="160"/>
      <c r="E1073" s="160"/>
      <c r="F1073" s="160"/>
      <c r="G1073" s="160"/>
      <c r="H1073" s="160"/>
      <c r="I1073" s="160"/>
      <c r="J1073" s="160"/>
      <c r="K1073" s="160"/>
      <c r="L1073" s="160"/>
      <c r="M1073" s="160"/>
      <c r="N1073" s="160"/>
      <c r="O1073" s="160"/>
      <c r="P1073" s="160"/>
    </row>
    <row r="1074" spans="3:16" x14ac:dyDescent="0.2">
      <c r="C1074" s="160"/>
      <c r="D1074" s="160"/>
      <c r="E1074" s="160"/>
      <c r="F1074" s="160"/>
      <c r="G1074" s="160"/>
      <c r="H1074" s="160"/>
      <c r="I1074" s="160"/>
      <c r="J1074" s="160"/>
      <c r="K1074" s="160"/>
      <c r="L1074" s="160"/>
      <c r="M1074" s="160"/>
      <c r="N1074" s="160"/>
      <c r="O1074" s="160"/>
      <c r="P1074" s="160"/>
    </row>
    <row r="1075" spans="3:16" x14ac:dyDescent="0.2">
      <c r="C1075" s="160"/>
      <c r="D1075" s="160"/>
      <c r="E1075" s="160"/>
      <c r="F1075" s="160"/>
      <c r="G1075" s="160"/>
      <c r="H1075" s="160"/>
      <c r="I1075" s="160"/>
      <c r="J1075" s="160"/>
      <c r="K1075" s="160"/>
      <c r="L1075" s="160"/>
      <c r="M1075" s="160"/>
      <c r="N1075" s="160"/>
      <c r="O1075" s="160"/>
      <c r="P1075" s="160"/>
    </row>
    <row r="1076" spans="3:16" x14ac:dyDescent="0.2">
      <c r="C1076" s="160"/>
      <c r="D1076" s="160"/>
      <c r="E1076" s="160"/>
      <c r="F1076" s="160"/>
      <c r="G1076" s="160"/>
      <c r="H1076" s="160"/>
      <c r="I1076" s="160"/>
      <c r="J1076" s="160"/>
      <c r="K1076" s="160"/>
      <c r="L1076" s="160"/>
      <c r="M1076" s="160"/>
      <c r="N1076" s="160"/>
      <c r="O1076" s="160"/>
      <c r="P1076" s="160"/>
    </row>
    <row r="1077" spans="3:16" x14ac:dyDescent="0.2">
      <c r="C1077" s="160"/>
      <c r="D1077" s="160"/>
      <c r="E1077" s="160"/>
      <c r="F1077" s="160"/>
      <c r="G1077" s="160"/>
      <c r="H1077" s="160"/>
      <c r="I1077" s="160"/>
      <c r="J1077" s="160"/>
      <c r="K1077" s="160"/>
      <c r="L1077" s="160"/>
      <c r="M1077" s="160"/>
      <c r="N1077" s="160"/>
      <c r="O1077" s="160"/>
      <c r="P1077" s="160"/>
    </row>
    <row r="1078" spans="3:16" x14ac:dyDescent="0.2">
      <c r="C1078" s="160"/>
      <c r="D1078" s="160"/>
      <c r="E1078" s="160"/>
      <c r="F1078" s="160"/>
      <c r="G1078" s="160"/>
      <c r="H1078" s="160"/>
      <c r="I1078" s="160"/>
      <c r="J1078" s="160"/>
      <c r="K1078" s="160"/>
      <c r="L1078" s="160"/>
      <c r="M1078" s="160"/>
      <c r="N1078" s="160"/>
      <c r="O1078" s="160"/>
      <c r="P1078" s="160"/>
    </row>
    <row r="1079" spans="3:16" x14ac:dyDescent="0.2">
      <c r="C1079" s="160"/>
      <c r="D1079" s="160"/>
      <c r="E1079" s="160"/>
      <c r="F1079" s="160"/>
      <c r="G1079" s="160"/>
      <c r="H1079" s="160"/>
      <c r="I1079" s="160"/>
      <c r="J1079" s="160"/>
      <c r="K1079" s="160"/>
      <c r="L1079" s="160"/>
      <c r="M1079" s="160"/>
      <c r="N1079" s="160"/>
      <c r="O1079" s="160"/>
      <c r="P1079" s="160"/>
    </row>
    <row r="1080" spans="3:16" x14ac:dyDescent="0.2">
      <c r="C1080" s="160"/>
      <c r="D1080" s="160"/>
      <c r="E1080" s="160"/>
      <c r="F1080" s="160"/>
      <c r="G1080" s="160"/>
      <c r="H1080" s="160"/>
      <c r="I1080" s="160"/>
      <c r="J1080" s="160"/>
      <c r="K1080" s="160"/>
      <c r="L1080" s="160"/>
      <c r="M1080" s="160"/>
      <c r="N1080" s="160"/>
      <c r="O1080" s="160"/>
      <c r="P1080" s="160"/>
    </row>
    <row r="1081" spans="3:16" x14ac:dyDescent="0.2">
      <c r="C1081" s="160"/>
      <c r="D1081" s="160"/>
      <c r="E1081" s="160"/>
      <c r="F1081" s="160"/>
      <c r="G1081" s="160"/>
      <c r="H1081" s="160"/>
      <c r="I1081" s="160"/>
      <c r="J1081" s="160"/>
      <c r="K1081" s="160"/>
      <c r="L1081" s="160"/>
      <c r="M1081" s="160"/>
      <c r="N1081" s="160"/>
      <c r="O1081" s="160"/>
      <c r="P1081" s="160"/>
    </row>
    <row r="1082" spans="3:16" x14ac:dyDescent="0.2">
      <c r="C1082" s="160"/>
      <c r="D1082" s="160"/>
      <c r="E1082" s="160"/>
      <c r="F1082" s="160"/>
      <c r="G1082" s="160"/>
      <c r="H1082" s="160"/>
      <c r="I1082" s="160"/>
      <c r="J1082" s="160"/>
      <c r="K1082" s="160"/>
      <c r="L1082" s="160"/>
      <c r="M1082" s="160"/>
      <c r="N1082" s="160"/>
      <c r="O1082" s="160"/>
      <c r="P1082" s="160"/>
    </row>
    <row r="1083" spans="3:16" x14ac:dyDescent="0.2">
      <c r="C1083" s="160"/>
      <c r="D1083" s="160"/>
      <c r="E1083" s="160"/>
      <c r="F1083" s="160"/>
      <c r="G1083" s="160"/>
      <c r="H1083" s="160"/>
      <c r="I1083" s="160"/>
      <c r="J1083" s="160"/>
      <c r="K1083" s="160"/>
      <c r="L1083" s="160"/>
      <c r="M1083" s="160"/>
      <c r="N1083" s="160"/>
      <c r="O1083" s="160"/>
      <c r="P1083" s="160"/>
    </row>
    <row r="1084" spans="3:16" x14ac:dyDescent="0.2">
      <c r="C1084" s="160"/>
      <c r="D1084" s="160"/>
      <c r="E1084" s="160"/>
      <c r="F1084" s="160"/>
      <c r="G1084" s="160"/>
      <c r="H1084" s="160"/>
      <c r="I1084" s="160"/>
      <c r="J1084" s="160"/>
      <c r="K1084" s="160"/>
      <c r="L1084" s="160"/>
      <c r="M1084" s="160"/>
      <c r="N1084" s="160"/>
      <c r="O1084" s="160"/>
      <c r="P1084" s="160"/>
    </row>
    <row r="1085" spans="3:16" x14ac:dyDescent="0.2">
      <c r="C1085" s="160"/>
      <c r="D1085" s="160"/>
      <c r="E1085" s="160"/>
      <c r="F1085" s="160"/>
      <c r="G1085" s="160"/>
      <c r="H1085" s="160"/>
      <c r="I1085" s="160"/>
      <c r="J1085" s="160"/>
      <c r="K1085" s="160"/>
      <c r="L1085" s="160"/>
      <c r="M1085" s="160"/>
      <c r="N1085" s="160"/>
      <c r="O1085" s="160"/>
      <c r="P1085" s="160"/>
    </row>
    <row r="1086" spans="3:16" x14ac:dyDescent="0.2">
      <c r="C1086" s="160"/>
      <c r="D1086" s="160"/>
      <c r="E1086" s="160"/>
      <c r="F1086" s="160"/>
      <c r="G1086" s="160"/>
      <c r="H1086" s="160"/>
      <c r="I1086" s="160"/>
      <c r="J1086" s="160"/>
      <c r="K1086" s="160"/>
      <c r="L1086" s="160"/>
      <c r="M1086" s="160"/>
      <c r="N1086" s="160"/>
      <c r="O1086" s="160"/>
      <c r="P1086" s="160"/>
    </row>
    <row r="1087" spans="3:16" x14ac:dyDescent="0.2">
      <c r="C1087" s="160"/>
      <c r="D1087" s="160"/>
      <c r="E1087" s="160"/>
      <c r="F1087" s="160"/>
      <c r="G1087" s="160"/>
      <c r="H1087" s="160"/>
      <c r="I1087" s="160"/>
      <c r="J1087" s="160"/>
      <c r="K1087" s="160"/>
      <c r="L1087" s="160"/>
      <c r="M1087" s="160"/>
      <c r="N1087" s="160"/>
      <c r="O1087" s="160"/>
      <c r="P1087" s="160"/>
    </row>
    <row r="1088" spans="3:16" x14ac:dyDescent="0.2">
      <c r="C1088" s="160"/>
      <c r="D1088" s="160"/>
      <c r="E1088" s="160"/>
      <c r="F1088" s="160"/>
      <c r="G1088" s="160"/>
      <c r="H1088" s="160"/>
      <c r="I1088" s="160"/>
      <c r="J1088" s="160"/>
      <c r="K1088" s="160"/>
      <c r="L1088" s="160"/>
      <c r="M1088" s="160"/>
      <c r="N1088" s="160"/>
      <c r="O1088" s="160"/>
      <c r="P1088" s="160"/>
    </row>
    <row r="1089" spans="3:16" x14ac:dyDescent="0.2">
      <c r="C1089" s="160"/>
      <c r="D1089" s="160"/>
      <c r="E1089" s="160"/>
      <c r="F1089" s="160"/>
      <c r="G1089" s="160"/>
      <c r="H1089" s="160"/>
      <c r="I1089" s="160"/>
      <c r="J1089" s="160"/>
      <c r="K1089" s="160"/>
      <c r="L1089" s="160"/>
      <c r="M1089" s="160"/>
      <c r="N1089" s="160"/>
      <c r="O1089" s="160"/>
      <c r="P1089" s="160"/>
    </row>
    <row r="1090" spans="3:16" x14ac:dyDescent="0.2">
      <c r="C1090" s="160"/>
      <c r="D1090" s="160"/>
      <c r="E1090" s="160"/>
      <c r="F1090" s="160"/>
      <c r="G1090" s="160"/>
      <c r="H1090" s="160"/>
      <c r="I1090" s="160"/>
      <c r="J1090" s="160"/>
      <c r="K1090" s="160"/>
      <c r="L1090" s="160"/>
      <c r="M1090" s="160"/>
      <c r="N1090" s="160"/>
      <c r="O1090" s="160"/>
      <c r="P1090" s="160"/>
    </row>
    <row r="1091" spans="3:16" x14ac:dyDescent="0.2">
      <c r="C1091" s="160"/>
      <c r="D1091" s="160"/>
      <c r="E1091" s="160"/>
      <c r="F1091" s="160"/>
      <c r="G1091" s="160"/>
      <c r="H1091" s="160"/>
      <c r="I1091" s="160"/>
      <c r="J1091" s="160"/>
      <c r="K1091" s="160"/>
      <c r="L1091" s="160"/>
      <c r="M1091" s="160"/>
      <c r="N1091" s="160"/>
      <c r="O1091" s="160"/>
      <c r="P1091" s="160"/>
    </row>
    <row r="1092" spans="3:16" x14ac:dyDescent="0.2">
      <c r="C1092" s="160"/>
      <c r="D1092" s="160"/>
      <c r="E1092" s="160"/>
      <c r="F1092" s="160"/>
      <c r="G1092" s="160"/>
      <c r="H1092" s="160"/>
      <c r="I1092" s="160"/>
      <c r="J1092" s="160"/>
      <c r="K1092" s="160"/>
      <c r="L1092" s="160"/>
      <c r="M1092" s="160"/>
      <c r="N1092" s="160"/>
      <c r="O1092" s="160"/>
      <c r="P1092" s="160"/>
    </row>
    <row r="1093" spans="3:16" x14ac:dyDescent="0.2">
      <c r="C1093" s="160"/>
      <c r="D1093" s="160"/>
      <c r="E1093" s="160"/>
      <c r="F1093" s="160"/>
      <c r="G1093" s="160"/>
      <c r="H1093" s="160"/>
      <c r="I1093" s="160"/>
      <c r="J1093" s="160"/>
      <c r="K1093" s="160"/>
      <c r="L1093" s="160"/>
      <c r="M1093" s="160"/>
      <c r="N1093" s="160"/>
      <c r="O1093" s="160"/>
      <c r="P1093" s="160"/>
    </row>
    <row r="1094" spans="3:16" x14ac:dyDescent="0.2">
      <c r="C1094" s="160"/>
      <c r="D1094" s="160"/>
      <c r="E1094" s="160"/>
      <c r="F1094" s="160"/>
      <c r="G1094" s="160"/>
      <c r="H1094" s="160"/>
      <c r="I1094" s="160"/>
      <c r="J1094" s="160"/>
      <c r="K1094" s="160"/>
      <c r="L1094" s="160"/>
      <c r="M1094" s="160"/>
      <c r="N1094" s="160"/>
      <c r="O1094" s="160"/>
      <c r="P1094" s="160"/>
    </row>
    <row r="1095" spans="3:16" x14ac:dyDescent="0.2">
      <c r="C1095" s="160"/>
      <c r="D1095" s="160"/>
      <c r="E1095" s="160"/>
      <c r="F1095" s="160"/>
      <c r="G1095" s="160"/>
      <c r="H1095" s="160"/>
      <c r="I1095" s="160"/>
      <c r="J1095" s="160"/>
      <c r="K1095" s="160"/>
      <c r="L1095" s="160"/>
      <c r="M1095" s="160"/>
      <c r="N1095" s="160"/>
      <c r="O1095" s="160"/>
      <c r="P1095" s="160"/>
    </row>
    <row r="1096" spans="3:16" x14ac:dyDescent="0.2">
      <c r="C1096" s="160"/>
      <c r="D1096" s="160"/>
      <c r="E1096" s="160"/>
      <c r="F1096" s="160"/>
      <c r="G1096" s="160"/>
      <c r="H1096" s="160"/>
      <c r="I1096" s="160"/>
      <c r="J1096" s="160"/>
      <c r="K1096" s="160"/>
      <c r="L1096" s="160"/>
      <c r="M1096" s="160"/>
      <c r="N1096" s="160"/>
      <c r="O1096" s="160"/>
      <c r="P1096" s="160"/>
    </row>
    <row r="1097" spans="3:16" x14ac:dyDescent="0.2">
      <c r="C1097" s="160"/>
      <c r="D1097" s="160"/>
      <c r="E1097" s="160"/>
      <c r="F1097" s="160"/>
      <c r="G1097" s="160"/>
      <c r="H1097" s="160"/>
      <c r="I1097" s="160"/>
      <c r="J1097" s="160"/>
      <c r="K1097" s="160"/>
      <c r="L1097" s="160"/>
      <c r="M1097" s="160"/>
      <c r="N1097" s="160"/>
      <c r="O1097" s="160"/>
      <c r="P1097" s="160"/>
    </row>
    <row r="1098" spans="3:16" x14ac:dyDescent="0.2">
      <c r="C1098" s="160"/>
      <c r="D1098" s="160"/>
      <c r="E1098" s="160"/>
      <c r="F1098" s="160"/>
      <c r="G1098" s="160"/>
      <c r="H1098" s="160"/>
      <c r="I1098" s="160"/>
      <c r="J1098" s="160"/>
      <c r="K1098" s="160"/>
      <c r="L1098" s="160"/>
      <c r="M1098" s="160"/>
      <c r="N1098" s="160"/>
      <c r="O1098" s="160"/>
      <c r="P1098" s="160"/>
    </row>
    <row r="1099" spans="3:16" x14ac:dyDescent="0.2">
      <c r="C1099" s="160"/>
      <c r="D1099" s="160"/>
      <c r="E1099" s="160"/>
      <c r="F1099" s="160"/>
      <c r="G1099" s="160"/>
      <c r="H1099" s="160"/>
      <c r="I1099" s="160"/>
      <c r="J1099" s="160"/>
      <c r="K1099" s="160"/>
      <c r="L1099" s="160"/>
      <c r="M1099" s="160"/>
      <c r="N1099" s="160"/>
      <c r="O1099" s="160"/>
      <c r="P1099" s="160"/>
    </row>
    <row r="1100" spans="3:16" x14ac:dyDescent="0.2">
      <c r="C1100" s="160"/>
      <c r="D1100" s="160"/>
      <c r="E1100" s="160"/>
      <c r="F1100" s="160"/>
      <c r="G1100" s="160"/>
      <c r="H1100" s="160"/>
      <c r="I1100" s="160"/>
      <c r="J1100" s="160"/>
      <c r="K1100" s="160"/>
      <c r="L1100" s="160"/>
      <c r="M1100" s="160"/>
      <c r="N1100" s="160"/>
      <c r="O1100" s="160"/>
      <c r="P1100" s="160"/>
    </row>
    <row r="1101" spans="3:16" x14ac:dyDescent="0.2">
      <c r="C1101" s="160"/>
      <c r="D1101" s="160"/>
      <c r="E1101" s="160"/>
      <c r="F1101" s="160"/>
      <c r="G1101" s="160"/>
      <c r="H1101" s="160"/>
      <c r="I1101" s="160"/>
      <c r="J1101" s="160"/>
      <c r="K1101" s="160"/>
      <c r="L1101" s="160"/>
      <c r="M1101" s="160"/>
      <c r="N1101" s="160"/>
      <c r="O1101" s="160"/>
      <c r="P1101" s="160"/>
    </row>
    <row r="1102" spans="3:16" x14ac:dyDescent="0.2">
      <c r="C1102" s="160"/>
      <c r="D1102" s="160"/>
      <c r="E1102" s="160"/>
      <c r="F1102" s="160"/>
      <c r="G1102" s="160"/>
      <c r="H1102" s="160"/>
      <c r="I1102" s="160"/>
      <c r="J1102" s="160"/>
      <c r="K1102" s="160"/>
      <c r="L1102" s="160"/>
      <c r="M1102" s="160"/>
      <c r="N1102" s="160"/>
      <c r="O1102" s="160"/>
      <c r="P1102" s="160"/>
    </row>
    <row r="1103" spans="3:16" x14ac:dyDescent="0.2">
      <c r="C1103" s="160"/>
      <c r="D1103" s="160"/>
      <c r="E1103" s="160"/>
      <c r="F1103" s="160"/>
      <c r="G1103" s="160"/>
      <c r="H1103" s="160"/>
      <c r="I1103" s="160"/>
      <c r="J1103" s="160"/>
      <c r="K1103" s="160"/>
      <c r="L1103" s="160"/>
      <c r="M1103" s="160"/>
      <c r="N1103" s="160"/>
      <c r="O1103" s="160"/>
      <c r="P1103" s="160"/>
    </row>
    <row r="1104" spans="3:16" x14ac:dyDescent="0.2">
      <c r="C1104" s="160"/>
      <c r="D1104" s="160"/>
      <c r="E1104" s="160"/>
      <c r="F1104" s="160"/>
      <c r="G1104" s="160"/>
      <c r="H1104" s="160"/>
      <c r="I1104" s="160"/>
      <c r="J1104" s="160"/>
      <c r="K1104" s="160"/>
      <c r="L1104" s="160"/>
      <c r="M1104" s="160"/>
      <c r="N1104" s="160"/>
      <c r="O1104" s="160"/>
      <c r="P1104" s="160"/>
    </row>
    <row r="1105" spans="3:16" x14ac:dyDescent="0.2">
      <c r="C1105" s="160"/>
      <c r="D1105" s="160"/>
      <c r="E1105" s="160"/>
      <c r="F1105" s="160"/>
      <c r="G1105" s="160"/>
      <c r="H1105" s="160"/>
      <c r="I1105" s="160"/>
      <c r="J1105" s="160"/>
      <c r="K1105" s="160"/>
      <c r="L1105" s="160"/>
      <c r="M1105" s="160"/>
      <c r="N1105" s="160"/>
      <c r="O1105" s="160"/>
      <c r="P1105" s="160"/>
    </row>
    <row r="1106" spans="3:16" x14ac:dyDescent="0.2">
      <c r="C1106" s="160"/>
      <c r="D1106" s="160"/>
      <c r="E1106" s="160"/>
      <c r="F1106" s="160"/>
      <c r="G1106" s="160"/>
      <c r="H1106" s="160"/>
      <c r="I1106" s="160"/>
      <c r="J1106" s="160"/>
      <c r="K1106" s="160"/>
      <c r="L1106" s="160"/>
      <c r="M1106" s="160"/>
      <c r="N1106" s="160"/>
      <c r="O1106" s="160"/>
      <c r="P1106" s="160"/>
    </row>
    <row r="1107" spans="3:16" x14ac:dyDescent="0.2">
      <c r="C1107" s="160"/>
      <c r="D1107" s="160"/>
      <c r="E1107" s="160"/>
      <c r="F1107" s="160"/>
      <c r="G1107" s="160"/>
      <c r="H1107" s="160"/>
      <c r="I1107" s="160"/>
      <c r="J1107" s="160"/>
      <c r="K1107" s="160"/>
      <c r="L1107" s="160"/>
      <c r="M1107" s="160"/>
      <c r="N1107" s="160"/>
      <c r="O1107" s="160"/>
      <c r="P1107" s="160"/>
    </row>
    <row r="1108" spans="3:16" x14ac:dyDescent="0.2">
      <c r="C1108" s="160"/>
      <c r="D1108" s="160"/>
      <c r="E1108" s="160"/>
      <c r="F1108" s="160"/>
      <c r="G1108" s="160"/>
      <c r="H1108" s="160"/>
      <c r="I1108" s="160"/>
      <c r="J1108" s="160"/>
      <c r="K1108" s="160"/>
      <c r="L1108" s="160"/>
      <c r="M1108" s="160"/>
      <c r="N1108" s="160"/>
      <c r="O1108" s="160"/>
      <c r="P1108" s="160"/>
    </row>
    <row r="1109" spans="3:16" x14ac:dyDescent="0.2">
      <c r="C1109" s="160"/>
      <c r="D1109" s="160"/>
      <c r="E1109" s="160"/>
      <c r="F1109" s="160"/>
      <c r="G1109" s="160"/>
      <c r="H1109" s="160"/>
      <c r="I1109" s="160"/>
      <c r="J1109" s="160"/>
      <c r="K1109" s="160"/>
      <c r="L1109" s="160"/>
      <c r="M1109" s="160"/>
      <c r="N1109" s="160"/>
      <c r="O1109" s="160"/>
      <c r="P1109" s="160"/>
    </row>
    <row r="1110" spans="3:16" x14ac:dyDescent="0.2">
      <c r="C1110" s="160"/>
      <c r="D1110" s="160"/>
      <c r="E1110" s="160"/>
      <c r="F1110" s="160"/>
      <c r="G1110" s="160"/>
      <c r="H1110" s="160"/>
      <c r="I1110" s="160"/>
      <c r="J1110" s="160"/>
      <c r="K1110" s="160"/>
      <c r="L1110" s="160"/>
      <c r="M1110" s="160"/>
      <c r="N1110" s="160"/>
      <c r="O1110" s="160"/>
      <c r="P1110" s="160"/>
    </row>
    <row r="1111" spans="3:16" x14ac:dyDescent="0.2">
      <c r="C1111" s="160"/>
      <c r="D1111" s="160"/>
      <c r="E1111" s="160"/>
      <c r="F1111" s="160"/>
      <c r="G1111" s="160"/>
      <c r="H1111" s="160"/>
      <c r="I1111" s="160"/>
      <c r="J1111" s="160"/>
      <c r="K1111" s="160"/>
      <c r="L1111" s="160"/>
      <c r="M1111" s="160"/>
      <c r="N1111" s="160"/>
      <c r="O1111" s="160"/>
      <c r="P1111" s="160"/>
    </row>
    <row r="1112" spans="3:16" x14ac:dyDescent="0.2">
      <c r="C1112" s="160"/>
      <c r="D1112" s="160"/>
      <c r="E1112" s="160"/>
      <c r="F1112" s="160"/>
      <c r="G1112" s="160"/>
      <c r="H1112" s="160"/>
      <c r="I1112" s="160"/>
      <c r="J1112" s="160"/>
      <c r="K1112" s="160"/>
      <c r="L1112" s="160"/>
      <c r="M1112" s="160"/>
      <c r="N1112" s="160"/>
      <c r="O1112" s="160"/>
      <c r="P1112" s="160"/>
    </row>
    <row r="1113" spans="3:16" x14ac:dyDescent="0.2">
      <c r="C1113" s="160"/>
      <c r="D1113" s="160"/>
      <c r="E1113" s="160"/>
      <c r="F1113" s="160"/>
      <c r="G1113" s="160"/>
      <c r="H1113" s="160"/>
      <c r="I1113" s="160"/>
      <c r="J1113" s="160"/>
      <c r="K1113" s="160"/>
      <c r="L1113" s="160"/>
      <c r="M1113" s="160"/>
      <c r="N1113" s="160"/>
      <c r="O1113" s="160"/>
      <c r="P1113" s="160"/>
    </row>
    <row r="1114" spans="3:16" x14ac:dyDescent="0.2">
      <c r="C1114" s="160"/>
      <c r="D1114" s="160"/>
      <c r="E1114" s="160"/>
      <c r="F1114" s="160"/>
      <c r="G1114" s="160"/>
      <c r="H1114" s="160"/>
      <c r="I1114" s="160"/>
      <c r="J1114" s="160"/>
      <c r="K1114" s="160"/>
      <c r="L1114" s="160"/>
      <c r="M1114" s="160"/>
      <c r="N1114" s="160"/>
      <c r="O1114" s="160"/>
      <c r="P1114" s="160"/>
    </row>
    <row r="1115" spans="3:16" x14ac:dyDescent="0.2">
      <c r="C1115" s="160"/>
      <c r="D1115" s="160"/>
      <c r="E1115" s="160"/>
      <c r="F1115" s="160"/>
      <c r="G1115" s="160"/>
      <c r="H1115" s="160"/>
      <c r="I1115" s="160"/>
      <c r="J1115" s="160"/>
      <c r="K1115" s="160"/>
      <c r="L1115" s="160"/>
      <c r="M1115" s="160"/>
      <c r="N1115" s="160"/>
      <c r="O1115" s="160"/>
      <c r="P1115" s="160"/>
    </row>
    <row r="1116" spans="3:16" x14ac:dyDescent="0.2">
      <c r="C1116" s="160"/>
      <c r="D1116" s="160"/>
      <c r="E1116" s="160"/>
      <c r="F1116" s="160"/>
      <c r="G1116" s="160"/>
      <c r="H1116" s="160"/>
      <c r="I1116" s="160"/>
      <c r="J1116" s="160"/>
      <c r="K1116" s="160"/>
      <c r="L1116" s="160"/>
      <c r="M1116" s="160"/>
      <c r="N1116" s="160"/>
      <c r="O1116" s="160"/>
      <c r="P1116" s="160"/>
    </row>
    <row r="1117" spans="3:16" x14ac:dyDescent="0.2">
      <c r="C1117" s="160"/>
      <c r="D1117" s="160"/>
      <c r="E1117" s="160"/>
      <c r="F1117" s="160"/>
      <c r="G1117" s="160"/>
      <c r="H1117" s="160"/>
      <c r="I1117" s="160"/>
      <c r="J1117" s="160"/>
      <c r="K1117" s="160"/>
      <c r="L1117" s="160"/>
      <c r="M1117" s="160"/>
      <c r="N1117" s="160"/>
      <c r="O1117" s="160"/>
      <c r="P1117" s="160"/>
    </row>
    <row r="1118" spans="3:16" x14ac:dyDescent="0.2">
      <c r="C1118" s="160"/>
      <c r="D1118" s="160"/>
      <c r="E1118" s="160"/>
      <c r="F1118" s="160"/>
      <c r="G1118" s="160"/>
      <c r="H1118" s="160"/>
      <c r="I1118" s="160"/>
      <c r="J1118" s="160"/>
      <c r="K1118" s="160"/>
      <c r="L1118" s="160"/>
      <c r="M1118" s="160"/>
      <c r="N1118" s="160"/>
      <c r="O1118" s="160"/>
      <c r="P1118" s="160"/>
    </row>
  </sheetData>
  <mergeCells count="9">
    <mergeCell ref="A268:B268"/>
    <mergeCell ref="A1:P1"/>
    <mergeCell ref="A110:B110"/>
    <mergeCell ref="A4:B4"/>
    <mergeCell ref="A143:B143"/>
    <mergeCell ref="A103:B103"/>
    <mergeCell ref="A131:B131"/>
    <mergeCell ref="A136:B136"/>
    <mergeCell ref="A263:B263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K129"/>
  <sheetViews>
    <sheetView topLeftCell="A47" workbookViewId="0">
      <selection sqref="A1:F63"/>
    </sheetView>
  </sheetViews>
  <sheetFormatPr defaultRowHeight="12.75" x14ac:dyDescent="0.2"/>
  <cols>
    <col min="4" max="4" width="10.42578125" customWidth="1"/>
    <col min="5" max="5" width="13" customWidth="1"/>
    <col min="6" max="6" width="20.7109375" customWidth="1"/>
    <col min="7" max="8" width="0.28515625" customWidth="1"/>
    <col min="9" max="10" width="10.85546875" bestFit="1" customWidth="1"/>
  </cols>
  <sheetData>
    <row r="1" spans="1:11" ht="29.25" customHeight="1" thickBot="1" x14ac:dyDescent="0.25">
      <c r="A1" s="1975" t="s">
        <v>525</v>
      </c>
      <c r="B1" s="1976"/>
      <c r="C1" s="1976"/>
      <c r="D1" s="1976"/>
      <c r="E1" s="1976"/>
      <c r="F1" s="1977"/>
    </row>
    <row r="2" spans="1:11" ht="0.75" customHeight="1" x14ac:dyDescent="0.2">
      <c r="A2" s="212" t="s">
        <v>153</v>
      </c>
      <c r="B2" s="881"/>
      <c r="C2" s="881"/>
      <c r="D2" s="33"/>
      <c r="E2" s="33"/>
      <c r="F2" s="33"/>
    </row>
    <row r="3" spans="1:11" ht="0.75" customHeight="1" thickBot="1" x14ac:dyDescent="0.25">
      <c r="F3" s="18"/>
    </row>
    <row r="4" spans="1:11" ht="13.5" thickBot="1" x14ac:dyDescent="0.25">
      <c r="A4" s="1981" t="s">
        <v>156</v>
      </c>
      <c r="B4" s="1982"/>
      <c r="C4" s="1982"/>
      <c r="D4" s="1982"/>
      <c r="E4" s="1982"/>
      <c r="F4" s="1983"/>
      <c r="G4" s="237"/>
      <c r="H4" s="4"/>
    </row>
    <row r="5" spans="1:11" x14ac:dyDescent="0.2">
      <c r="A5" s="882" t="s">
        <v>329</v>
      </c>
      <c r="B5" s="282"/>
      <c r="C5" s="282"/>
      <c r="D5" s="282"/>
      <c r="E5" s="282">
        <v>1</v>
      </c>
      <c r="F5" s="283">
        <f>SUM('5.a.sz. melléklet'!C125)</f>
        <v>60363</v>
      </c>
      <c r="G5" s="899">
        <f>'5. sz.melléklet'!F5</f>
        <v>0</v>
      </c>
      <c r="H5" s="1406">
        <f>SUM('5. sz.melléklet'!E5)</f>
        <v>0</v>
      </c>
    </row>
    <row r="6" spans="1:11" x14ac:dyDescent="0.2">
      <c r="A6" s="882" t="s">
        <v>192</v>
      </c>
      <c r="B6" s="282"/>
      <c r="C6" s="282"/>
      <c r="D6" s="282"/>
      <c r="E6" s="282">
        <v>2</v>
      </c>
      <c r="F6" s="283">
        <f>SUM('5.a.sz. melléklet'!D125)</f>
        <v>548194</v>
      </c>
      <c r="G6" s="899">
        <f>'5. sz.melléklet'!F12</f>
        <v>548194</v>
      </c>
      <c r="H6" s="1407">
        <f>SUM('5. sz.melléklet'!I11)</f>
        <v>463835</v>
      </c>
    </row>
    <row r="7" spans="1:11" x14ac:dyDescent="0.2">
      <c r="A7" s="882" t="s">
        <v>27</v>
      </c>
      <c r="B7" s="282"/>
      <c r="C7" s="282"/>
      <c r="D7" s="282"/>
      <c r="E7" s="282">
        <v>3</v>
      </c>
      <c r="F7" s="283">
        <f>SUM('5.a.sz. melléklet'!E125)</f>
        <v>113279</v>
      </c>
      <c r="G7" s="899">
        <f>'5. sz.melléklet'!D15+'5. sz.melléklet'!D16+'5. sz.melléklet'!D17+'5. sz.melléklet'!D18+'5. sz.melléklet'!D19+'5. sz.melléklet'!D20</f>
        <v>120822</v>
      </c>
      <c r="H7" s="1407">
        <f>SUM('5. sz.melléklet'!I21)</f>
        <v>93639</v>
      </c>
    </row>
    <row r="8" spans="1:11" x14ac:dyDescent="0.2">
      <c r="A8" s="882" t="s">
        <v>332</v>
      </c>
      <c r="B8" s="282"/>
      <c r="C8" s="282"/>
      <c r="D8" s="282"/>
      <c r="E8" s="282">
        <v>4</v>
      </c>
      <c r="F8" s="283">
        <f>SUM('5.a.sz. melléklet'!F125)</f>
        <v>19205</v>
      </c>
      <c r="G8" s="899">
        <f>SUM('3.sz.melléklet'!C9)</f>
        <v>0</v>
      </c>
      <c r="H8" s="1408">
        <f>SUM('3.sz.melléklet'!D9)</f>
        <v>5600</v>
      </c>
      <c r="J8" s="64"/>
      <c r="K8" s="64"/>
    </row>
    <row r="9" spans="1:11" x14ac:dyDescent="0.2">
      <c r="A9" s="288" t="s">
        <v>9</v>
      </c>
      <c r="B9" s="291"/>
      <c r="C9" s="291"/>
      <c r="D9" s="291"/>
      <c r="E9" s="291" t="s">
        <v>71</v>
      </c>
      <c r="F9" s="284">
        <f>SUM(F5:F8)</f>
        <v>741041</v>
      </c>
      <c r="G9" s="900">
        <f>SUM(G5:G8)</f>
        <v>669016</v>
      </c>
      <c r="H9" s="1405">
        <f>SUM(H5:H8)</f>
        <v>563074</v>
      </c>
    </row>
    <row r="10" spans="1:11" x14ac:dyDescent="0.2">
      <c r="A10" s="882"/>
      <c r="B10" s="282"/>
      <c r="C10" s="282"/>
      <c r="D10" s="282"/>
      <c r="E10" s="282"/>
      <c r="F10" s="283"/>
      <c r="G10" s="899"/>
      <c r="H10" s="1409">
        <f>'5. sz.melléklet'!G10</f>
        <v>0</v>
      </c>
    </row>
    <row r="11" spans="1:11" x14ac:dyDescent="0.2">
      <c r="A11" s="882" t="s">
        <v>10</v>
      </c>
      <c r="B11" s="282"/>
      <c r="C11" s="282"/>
      <c r="D11" s="282"/>
      <c r="E11" s="282">
        <v>6</v>
      </c>
      <c r="F11" s="283">
        <f>SUM('6. sz.melléklet'!C155)</f>
        <v>38491</v>
      </c>
      <c r="G11" s="899">
        <f>'1.sz. melléklet'!C18</f>
        <v>0</v>
      </c>
      <c r="H11" s="1407">
        <f>SUM('6. sz.melléklet'!C157)</f>
        <v>0</v>
      </c>
    </row>
    <row r="12" spans="1:11" x14ac:dyDescent="0.2">
      <c r="A12" s="882" t="s">
        <v>340</v>
      </c>
      <c r="B12" s="282"/>
      <c r="C12" s="282"/>
      <c r="D12" s="282"/>
      <c r="E12" s="282">
        <v>7</v>
      </c>
      <c r="F12" s="283">
        <f>SUM('6. sz.melléklet'!D155)</f>
        <v>12311</v>
      </c>
      <c r="G12" s="899">
        <f>'1.sz. melléklet'!C19</f>
        <v>0</v>
      </c>
      <c r="H12" s="1407">
        <f>SUM('6. sz.melléklet'!D157)</f>
        <v>0</v>
      </c>
    </row>
    <row r="13" spans="1:11" x14ac:dyDescent="0.2">
      <c r="A13" s="287" t="s">
        <v>70</v>
      </c>
      <c r="B13" s="282"/>
      <c r="C13" s="282"/>
      <c r="D13" s="282"/>
      <c r="E13" s="282">
        <v>8</v>
      </c>
      <c r="F13" s="283">
        <f>SUM('6. sz.melléklet'!E155)</f>
        <v>164011</v>
      </c>
      <c r="G13" s="899">
        <f>'1.sz. melléklet'!C20</f>
        <v>0</v>
      </c>
      <c r="H13" s="1407">
        <f>SUM('6. sz.melléklet'!E157)</f>
        <v>0</v>
      </c>
    </row>
    <row r="14" spans="1:11" x14ac:dyDescent="0.2">
      <c r="A14" s="882" t="s">
        <v>241</v>
      </c>
      <c r="B14" s="282"/>
      <c r="C14" s="282"/>
      <c r="D14" s="282"/>
      <c r="E14" s="282">
        <v>10</v>
      </c>
      <c r="F14" s="283">
        <f>SUM('6. sz.melléklet'!F155)</f>
        <v>50501</v>
      </c>
      <c r="G14" s="899">
        <f>'1.sz. melléklet'!C21</f>
        <v>0</v>
      </c>
      <c r="H14" s="1407">
        <f>SUM('6. sz.melléklet'!F157)</f>
        <v>0</v>
      </c>
    </row>
    <row r="15" spans="1:11" x14ac:dyDescent="0.2">
      <c r="A15" s="882" t="s">
        <v>242</v>
      </c>
      <c r="B15" s="282"/>
      <c r="C15" s="282"/>
      <c r="D15" s="282"/>
      <c r="E15" s="282">
        <v>11</v>
      </c>
      <c r="F15" s="283">
        <f>SUM('6. sz.melléklet'!I155)</f>
        <v>41708</v>
      </c>
      <c r="G15" s="899">
        <f>'1.sz. melléklet'!C22</f>
        <v>0</v>
      </c>
      <c r="H15" s="1408">
        <f>SUM('6. sz.melléklet'!I157)</f>
        <v>0</v>
      </c>
    </row>
    <row r="16" spans="1:11" x14ac:dyDescent="0.2">
      <c r="A16" s="288" t="s">
        <v>11</v>
      </c>
      <c r="B16" s="291"/>
      <c r="C16" s="291"/>
      <c r="D16" s="291"/>
      <c r="E16" s="883" t="s">
        <v>73</v>
      </c>
      <c r="F16" s="284">
        <f>SUM(F11:F15)</f>
        <v>307022</v>
      </c>
      <c r="G16" s="900">
        <f>SUM(G11:G15)</f>
        <v>0</v>
      </c>
      <c r="H16" s="1405">
        <f>SUM(H10:H15)</f>
        <v>0</v>
      </c>
    </row>
    <row r="17" spans="1:10" ht="5.25" customHeight="1" x14ac:dyDescent="0.2">
      <c r="A17" s="884"/>
      <c r="B17" s="885"/>
      <c r="C17" s="885"/>
      <c r="D17" s="885"/>
      <c r="E17" s="886"/>
      <c r="F17" s="285"/>
      <c r="G17" s="901"/>
      <c r="H17" s="1277">
        <f>'5. sz.melléklet'!G17</f>
        <v>0</v>
      </c>
    </row>
    <row r="18" spans="1:10" x14ac:dyDescent="0.2">
      <c r="A18" s="884" t="s">
        <v>142</v>
      </c>
      <c r="B18" s="885"/>
      <c r="C18" s="885"/>
      <c r="D18" s="885"/>
      <c r="E18" s="886"/>
      <c r="F18" s="285">
        <f>F9-F16</f>
        <v>434019</v>
      </c>
      <c r="G18" s="1147">
        <f>G9-G16</f>
        <v>669016</v>
      </c>
      <c r="H18" s="1405">
        <f>SUM(H9-H16)</f>
        <v>563074</v>
      </c>
    </row>
    <row r="19" spans="1:10" ht="3.75" customHeight="1" thickBot="1" x14ac:dyDescent="0.25">
      <c r="A19" s="882"/>
      <c r="B19" s="282"/>
      <c r="C19" s="282"/>
      <c r="D19" s="282"/>
      <c r="E19" s="282"/>
      <c r="F19" s="283"/>
      <c r="G19" s="237"/>
      <c r="H19" s="1277">
        <f>'5. sz.melléklet'!G19</f>
        <v>0</v>
      </c>
    </row>
    <row r="20" spans="1:10" ht="13.5" thickBot="1" x14ac:dyDescent="0.25">
      <c r="A20" s="1978" t="s">
        <v>155</v>
      </c>
      <c r="B20" s="1979"/>
      <c r="C20" s="1979"/>
      <c r="D20" s="1979"/>
      <c r="E20" s="1979"/>
      <c r="F20" s="1980"/>
      <c r="G20" s="155"/>
      <c r="H20" s="1409">
        <f>'5. sz.melléklet'!G20</f>
        <v>0</v>
      </c>
    </row>
    <row r="21" spans="1:10" x14ac:dyDescent="0.2">
      <c r="A21" s="882" t="s">
        <v>12</v>
      </c>
      <c r="B21" s="282"/>
      <c r="C21" s="282"/>
      <c r="D21" s="282"/>
      <c r="E21" s="282">
        <v>13</v>
      </c>
      <c r="F21" s="283">
        <f>SUM('5.a.sz. melléklet'!I125)</f>
        <v>30430</v>
      </c>
      <c r="G21" s="899" t="e">
        <f>'1.sz. melléklet'!C9</f>
        <v>#REF!</v>
      </c>
      <c r="H21" s="1407" t="e">
        <f>SUM('1.sz. melléklet'!D9)</f>
        <v>#REF!</v>
      </c>
      <c r="I21" s="60"/>
      <c r="J21" s="60"/>
    </row>
    <row r="22" spans="1:10" x14ac:dyDescent="0.2">
      <c r="A22" s="882" t="s">
        <v>28</v>
      </c>
      <c r="B22" s="282"/>
      <c r="C22" s="282"/>
      <c r="D22" s="282"/>
      <c r="E22" s="282">
        <v>14</v>
      </c>
      <c r="F22" s="283"/>
      <c r="G22" s="899"/>
      <c r="H22" s="1407">
        <f>'5. sz.melléklet'!G22</f>
        <v>0</v>
      </c>
    </row>
    <row r="23" spans="1:10" x14ac:dyDescent="0.2">
      <c r="A23" s="882" t="s">
        <v>32</v>
      </c>
      <c r="B23" s="282"/>
      <c r="C23" s="282"/>
      <c r="D23" s="282"/>
      <c r="E23" s="282">
        <v>15</v>
      </c>
      <c r="F23" s="283"/>
      <c r="G23" s="899"/>
      <c r="H23" s="1407">
        <f>'5. sz.melléklet'!G23</f>
        <v>0</v>
      </c>
    </row>
    <row r="24" spans="1:10" x14ac:dyDescent="0.2">
      <c r="A24" s="882" t="s">
        <v>181</v>
      </c>
      <c r="B24" s="282"/>
      <c r="C24" s="282"/>
      <c r="D24" s="282"/>
      <c r="E24" s="282">
        <v>16</v>
      </c>
      <c r="F24" s="283">
        <f>SUM('5.a.sz. melléklet'!G125)</f>
        <v>240017</v>
      </c>
      <c r="G24" s="899" t="e">
        <f>'5. sz.melléklet'!D36+'5. sz.melléklet'!D27+'5. sz.melléklet'!#REF!+'5. sz.melléklet'!D21</f>
        <v>#REF!</v>
      </c>
      <c r="H24" s="1407" t="e">
        <f>SUM('5. sz.melléklet'!E36+'5. sz.melléklet'!E27+'5. sz.melléklet'!#REF!+'5. sz.melléklet'!E21)</f>
        <v>#REF!</v>
      </c>
    </row>
    <row r="25" spans="1:10" ht="26.25" customHeight="1" x14ac:dyDescent="0.2">
      <c r="A25" s="882" t="s">
        <v>13</v>
      </c>
      <c r="B25" s="282"/>
      <c r="C25" s="282"/>
      <c r="D25" s="282"/>
      <c r="E25" s="282">
        <v>17</v>
      </c>
      <c r="F25" s="283"/>
      <c r="G25" s="476"/>
      <c r="H25" s="1407">
        <f>'5. sz.melléklet'!G26</f>
        <v>0</v>
      </c>
      <c r="I25" s="476"/>
      <c r="J25" s="476"/>
    </row>
    <row r="26" spans="1:10" x14ac:dyDescent="0.2">
      <c r="A26" s="882" t="s">
        <v>89</v>
      </c>
      <c r="B26" s="282"/>
      <c r="C26" s="282"/>
      <c r="D26" s="282"/>
      <c r="E26" s="282">
        <v>18</v>
      </c>
      <c r="F26" s="283"/>
      <c r="G26" s="899"/>
      <c r="H26" s="1407" t="e">
        <f>'5. sz.melléklet'!#REF!</f>
        <v>#REF!</v>
      </c>
    </row>
    <row r="27" spans="1:10" x14ac:dyDescent="0.2">
      <c r="A27" s="882" t="s">
        <v>90</v>
      </c>
      <c r="B27" s="282"/>
      <c r="C27" s="282"/>
      <c r="D27" s="282"/>
      <c r="E27" s="282">
        <v>19</v>
      </c>
      <c r="F27" s="283"/>
      <c r="G27" s="899"/>
      <c r="H27" s="1408">
        <f>'5. sz.melléklet'!G27</f>
        <v>0</v>
      </c>
    </row>
    <row r="28" spans="1:10" x14ac:dyDescent="0.2">
      <c r="A28" s="288" t="s">
        <v>14</v>
      </c>
      <c r="B28" s="291"/>
      <c r="C28" s="291"/>
      <c r="D28" s="291"/>
      <c r="E28" s="883" t="s">
        <v>91</v>
      </c>
      <c r="F28" s="284">
        <f>SUM(F21:F27)</f>
        <v>270447</v>
      </c>
      <c r="G28" s="900" t="e">
        <f>SUM(G21:G27)</f>
        <v>#REF!</v>
      </c>
      <c r="H28" s="1277" t="e">
        <f>SUM(H19:H27)</f>
        <v>#REF!</v>
      </c>
    </row>
    <row r="29" spans="1:10" x14ac:dyDescent="0.2">
      <c r="A29" s="884"/>
      <c r="B29" s="885"/>
      <c r="C29" s="885"/>
      <c r="D29" s="885"/>
      <c r="E29" s="885"/>
      <c r="F29" s="285"/>
      <c r="G29" s="901"/>
      <c r="H29" s="1409">
        <f>'5. sz.melléklet'!G29</f>
        <v>0</v>
      </c>
    </row>
    <row r="30" spans="1:10" x14ac:dyDescent="0.2">
      <c r="A30" s="882" t="s">
        <v>15</v>
      </c>
      <c r="B30" s="282"/>
      <c r="C30" s="282"/>
      <c r="D30" s="282"/>
      <c r="E30" s="282">
        <v>21</v>
      </c>
      <c r="F30" s="283">
        <f>SUM('6. sz.melléklet'!H155)</f>
        <v>284087</v>
      </c>
      <c r="G30" s="899">
        <f>'1.sz. melléklet'!C23</f>
        <v>0</v>
      </c>
      <c r="H30" s="1407">
        <f>SUM('6. sz.melléklet'!H157)</f>
        <v>0</v>
      </c>
    </row>
    <row r="31" spans="1:10" x14ac:dyDescent="0.2">
      <c r="A31" s="882" t="s">
        <v>16</v>
      </c>
      <c r="B31" s="282"/>
      <c r="C31" s="282"/>
      <c r="D31" s="282"/>
      <c r="E31" s="282">
        <v>22</v>
      </c>
      <c r="F31" s="283">
        <f>SUM('6. sz.melléklet'!G155)</f>
        <v>227360</v>
      </c>
      <c r="G31" s="899">
        <f>'1.sz. melléklet'!C24</f>
        <v>0</v>
      </c>
      <c r="H31" s="1407">
        <f>SUM('6. sz.melléklet'!G157)</f>
        <v>0</v>
      </c>
    </row>
    <row r="32" spans="1:10" x14ac:dyDescent="0.2">
      <c r="A32" s="882" t="s">
        <v>74</v>
      </c>
      <c r="B32" s="282"/>
      <c r="C32" s="282"/>
      <c r="D32" s="282"/>
      <c r="E32" s="282">
        <v>23</v>
      </c>
      <c r="F32" s="283"/>
      <c r="G32" s="899"/>
      <c r="H32" s="1407">
        <f>'5. sz.melléklet'!G34</f>
        <v>0</v>
      </c>
    </row>
    <row r="33" spans="1:8" x14ac:dyDescent="0.2">
      <c r="A33" s="882" t="s">
        <v>159</v>
      </c>
      <c r="B33" s="282"/>
      <c r="C33" s="282"/>
      <c r="D33" s="282"/>
      <c r="E33" s="286">
        <v>24</v>
      </c>
      <c r="F33" s="283"/>
      <c r="G33" s="899"/>
      <c r="H33" s="1407">
        <f>'5. sz.melléklet'!G35</f>
        <v>0</v>
      </c>
    </row>
    <row r="34" spans="1:8" x14ac:dyDescent="0.2">
      <c r="A34" s="882" t="s">
        <v>182</v>
      </c>
      <c r="B34" s="282"/>
      <c r="C34" s="282"/>
      <c r="D34" s="282"/>
      <c r="E34" s="282">
        <v>25</v>
      </c>
      <c r="F34" s="283">
        <f>SUM('6. sz.melléklet'!J155)</f>
        <v>169055</v>
      </c>
      <c r="G34" s="899">
        <f>'1.sz. melléklet'!C25</f>
        <v>0</v>
      </c>
      <c r="H34" s="1408">
        <f>SUM('6. sz.melléklet'!J157)</f>
        <v>0</v>
      </c>
    </row>
    <row r="35" spans="1:8" x14ac:dyDescent="0.2">
      <c r="A35" s="288" t="s">
        <v>17</v>
      </c>
      <c r="B35" s="291"/>
      <c r="C35" s="291"/>
      <c r="D35" s="291"/>
      <c r="E35" s="291" t="s">
        <v>160</v>
      </c>
      <c r="F35" s="284">
        <f>SUM(F30:F34)</f>
        <v>680502</v>
      </c>
      <c r="G35" s="900">
        <f>SUM(G30:G34)</f>
        <v>0</v>
      </c>
      <c r="H35" s="1277">
        <f>SUM(H29:H34)</f>
        <v>0</v>
      </c>
    </row>
    <row r="36" spans="1:8" x14ac:dyDescent="0.2">
      <c r="A36" s="884"/>
      <c r="B36" s="885"/>
      <c r="C36" s="885"/>
      <c r="D36" s="885"/>
      <c r="E36" s="885"/>
      <c r="F36" s="285"/>
      <c r="G36" s="901"/>
      <c r="H36" s="1277">
        <f>'5. sz.melléklet'!G38</f>
        <v>0</v>
      </c>
    </row>
    <row r="37" spans="1:8" ht="14.25" customHeight="1" thickBot="1" x14ac:dyDescent="0.25">
      <c r="A37" s="288" t="s">
        <v>180</v>
      </c>
      <c r="B37" s="291"/>
      <c r="C37" s="291"/>
      <c r="D37" s="291"/>
      <c r="E37" s="291"/>
      <c r="F37" s="284">
        <f>F28-F35</f>
        <v>-410055</v>
      </c>
      <c r="G37" s="902" t="e">
        <f>G28-G35</f>
        <v>#REF!</v>
      </c>
      <c r="H37" s="1277" t="e">
        <f>SUM(H28-H35)</f>
        <v>#REF!</v>
      </c>
    </row>
    <row r="38" spans="1:8" ht="13.5" thickBot="1" x14ac:dyDescent="0.25">
      <c r="A38" s="884"/>
      <c r="B38" s="885"/>
      <c r="C38" s="885"/>
      <c r="D38" s="885"/>
      <c r="E38" s="885"/>
      <c r="F38" s="285"/>
      <c r="G38" s="721"/>
      <c r="H38" s="1277">
        <f>'5. sz.melléklet'!G40</f>
        <v>0</v>
      </c>
    </row>
    <row r="39" spans="1:8" ht="17.25" customHeight="1" thickBot="1" x14ac:dyDescent="0.25">
      <c r="A39" s="1978" t="s">
        <v>154</v>
      </c>
      <c r="B39" s="1979"/>
      <c r="C39" s="1979"/>
      <c r="D39" s="1979"/>
      <c r="E39" s="1979"/>
      <c r="F39" s="1980"/>
      <c r="G39" s="721"/>
      <c r="H39" s="1277">
        <f>'5. sz.melléklet'!G41</f>
        <v>0</v>
      </c>
    </row>
    <row r="40" spans="1:8" x14ac:dyDescent="0.2">
      <c r="A40" s="884"/>
      <c r="B40" s="885"/>
      <c r="C40" s="885"/>
      <c r="D40" s="885"/>
      <c r="E40" s="885"/>
      <c r="F40" s="285"/>
      <c r="G40" s="722"/>
      <c r="H40" s="1277">
        <f>'5. sz.melléklet'!G42</f>
        <v>0</v>
      </c>
    </row>
    <row r="41" spans="1:8" ht="21" customHeight="1" x14ac:dyDescent="0.2">
      <c r="A41" s="288" t="s">
        <v>87</v>
      </c>
      <c r="B41" s="291"/>
      <c r="C41" s="291"/>
      <c r="D41" s="291"/>
      <c r="E41" s="291">
        <v>26</v>
      </c>
      <c r="F41" s="284">
        <f>SUM('5.a.sz. melléklet'!K125)</f>
        <v>100000</v>
      </c>
      <c r="G41" s="900">
        <f>SUM('5.a.sz. melléklet'!K126)</f>
        <v>0</v>
      </c>
      <c r="H41" s="1409">
        <f>SUM('5.a.sz. melléklet'!K127)</f>
        <v>0</v>
      </c>
    </row>
    <row r="42" spans="1:8" x14ac:dyDescent="0.2">
      <c r="A42" s="884"/>
      <c r="B42" s="885"/>
      <c r="C42" s="885"/>
      <c r="D42" s="885"/>
      <c r="E42" s="885"/>
      <c r="F42" s="285"/>
      <c r="G42" s="901"/>
      <c r="H42" s="1407">
        <f>'5. sz.melléklet'!G44</f>
        <v>0</v>
      </c>
    </row>
    <row r="43" spans="1:8" x14ac:dyDescent="0.2">
      <c r="A43" s="887" t="s">
        <v>461</v>
      </c>
      <c r="B43" s="282"/>
      <c r="C43" s="282"/>
      <c r="D43" s="282"/>
      <c r="E43" s="282">
        <v>27</v>
      </c>
      <c r="F43" s="283"/>
      <c r="G43" s="899">
        <f>SUM('6. sz.melléklet'!M149)</f>
        <v>0</v>
      </c>
      <c r="H43" s="1407">
        <f>SUM('6. sz.melléklet'!M150)</f>
        <v>0</v>
      </c>
    </row>
    <row r="44" spans="1:8" x14ac:dyDescent="0.2">
      <c r="A44" s="887" t="s">
        <v>476</v>
      </c>
      <c r="B44" s="282"/>
      <c r="C44" s="282"/>
      <c r="D44" s="282"/>
      <c r="E44" s="282">
        <v>28</v>
      </c>
      <c r="F44" s="283"/>
      <c r="G44" s="899">
        <f>SUM('6. sz.melléklet'!M7)</f>
        <v>0</v>
      </c>
      <c r="H44" s="1407">
        <f>SUM('6. sz.melléklet'!M8)</f>
        <v>0</v>
      </c>
    </row>
    <row r="45" spans="1:8" x14ac:dyDescent="0.2">
      <c r="A45" s="887" t="s">
        <v>341</v>
      </c>
      <c r="B45" s="282"/>
      <c r="C45" s="282"/>
      <c r="D45" s="282"/>
      <c r="E45" s="282">
        <v>29</v>
      </c>
      <c r="F45" s="283">
        <f>SUM('6. sz.melléklet'!M22)</f>
        <v>385689</v>
      </c>
      <c r="G45" s="899">
        <f>SUM('1.sz. melléklet'!F12+'1.sz. melléklet'!I12+'1.sz. melléklet'!L12+'1.sz. melléklet'!O12-1)</f>
        <v>400668</v>
      </c>
      <c r="H45" s="1407">
        <f>SUM('6. sz.melléklet'!M24)</f>
        <v>0</v>
      </c>
    </row>
    <row r="46" spans="1:8" x14ac:dyDescent="0.2">
      <c r="A46" s="887" t="s">
        <v>477</v>
      </c>
      <c r="B46" s="282"/>
      <c r="C46" s="282"/>
      <c r="D46" s="282"/>
      <c r="E46" s="282">
        <v>30</v>
      </c>
      <c r="F46" s="283">
        <f>SUM('6. sz.melléklet'!M18)</f>
        <v>3424</v>
      </c>
      <c r="G46" s="899">
        <f>SUM('6. sz.melléklet'!M19)</f>
        <v>0</v>
      </c>
      <c r="H46" s="1408">
        <f>SUM('6. sz.melléklet'!M20)</f>
        <v>0</v>
      </c>
    </row>
    <row r="47" spans="1:8" x14ac:dyDescent="0.2">
      <c r="A47" s="288" t="s">
        <v>88</v>
      </c>
      <c r="B47" s="291"/>
      <c r="C47" s="291"/>
      <c r="D47" s="291"/>
      <c r="E47" s="291" t="s">
        <v>342</v>
      </c>
      <c r="F47" s="284">
        <f>SUM(F43:F45)</f>
        <v>385689</v>
      </c>
      <c r="G47" s="900">
        <f>SUM(G43:G45)</f>
        <v>400668</v>
      </c>
      <c r="H47" s="1277">
        <f>SUM(H41:H46)</f>
        <v>0</v>
      </c>
    </row>
    <row r="48" spans="1:8" x14ac:dyDescent="0.2">
      <c r="A48" s="884"/>
      <c r="B48" s="885"/>
      <c r="C48" s="885"/>
      <c r="D48" s="885"/>
      <c r="E48" s="885"/>
      <c r="F48" s="285">
        <f>SUM(F41-F47)</f>
        <v>-285689</v>
      </c>
      <c r="G48" s="901"/>
      <c r="H48" s="1409">
        <f>'5. sz.melléklet'!G46</f>
        <v>0</v>
      </c>
    </row>
    <row r="49" spans="1:8" x14ac:dyDescent="0.2">
      <c r="A49" s="288" t="s">
        <v>72</v>
      </c>
      <c r="B49" s="291"/>
      <c r="C49" s="291"/>
      <c r="D49" s="291"/>
      <c r="E49" s="291"/>
      <c r="F49" s="284"/>
      <c r="G49" s="900"/>
      <c r="H49" s="1407">
        <f>'5. sz.melléklet'!G47</f>
        <v>0</v>
      </c>
    </row>
    <row r="50" spans="1:8" x14ac:dyDescent="0.2">
      <c r="A50" s="288" t="s">
        <v>481</v>
      </c>
      <c r="B50" s="291"/>
      <c r="C50" s="291"/>
      <c r="D50" s="291"/>
      <c r="E50" s="291"/>
      <c r="F50" s="284"/>
      <c r="G50" s="900"/>
      <c r="H50" s="1407">
        <f>'5. sz.melléklet'!G48</f>
        <v>0</v>
      </c>
    </row>
    <row r="51" spans="1:8" x14ac:dyDescent="0.2">
      <c r="A51" s="288" t="s">
        <v>143</v>
      </c>
      <c r="B51" s="291"/>
      <c r="C51" s="291"/>
      <c r="D51" s="291"/>
      <c r="E51" s="291"/>
      <c r="F51" s="284"/>
      <c r="G51" s="900"/>
      <c r="H51" s="1407">
        <f>'5. sz.melléklet'!G49</f>
        <v>0</v>
      </c>
    </row>
    <row r="52" spans="1:8" x14ac:dyDescent="0.2">
      <c r="A52" s="884"/>
      <c r="B52" s="885"/>
      <c r="C52" s="885"/>
      <c r="D52" s="885"/>
      <c r="E52" s="885"/>
      <c r="F52" s="285"/>
      <c r="G52" s="901"/>
      <c r="H52" s="1407">
        <f>'5. sz.melléklet'!G50</f>
        <v>0</v>
      </c>
    </row>
    <row r="53" spans="1:8" x14ac:dyDescent="0.2">
      <c r="A53" s="888" t="s">
        <v>18</v>
      </c>
      <c r="B53" s="889"/>
      <c r="C53" s="889"/>
      <c r="D53" s="889"/>
      <c r="E53" s="890" t="s">
        <v>343</v>
      </c>
      <c r="F53" s="289">
        <f>F9+F28+F41</f>
        <v>1111488</v>
      </c>
      <c r="G53" s="903" t="e">
        <f>G9+G28+G41</f>
        <v>#REF!</v>
      </c>
      <c r="H53" s="1410" t="e">
        <f>H9+H28+H41</f>
        <v>#REF!</v>
      </c>
    </row>
    <row r="54" spans="1:8" x14ac:dyDescent="0.2">
      <c r="A54" s="288" t="s">
        <v>19</v>
      </c>
      <c r="B54" s="291"/>
      <c r="C54" s="291"/>
      <c r="D54" s="291"/>
      <c r="E54" s="291" t="s">
        <v>344</v>
      </c>
      <c r="F54" s="284">
        <f>F16+F35+F47</f>
        <v>1373213</v>
      </c>
      <c r="G54" s="900">
        <f>G16+G35+G47</f>
        <v>400668</v>
      </c>
      <c r="H54" s="1410">
        <f>H16+H35+H47</f>
        <v>0</v>
      </c>
    </row>
    <row r="55" spans="1:8" x14ac:dyDescent="0.2">
      <c r="A55" s="882"/>
      <c r="B55" s="282"/>
      <c r="C55" s="282"/>
      <c r="D55" s="282"/>
      <c r="E55" s="282"/>
      <c r="F55" s="283"/>
      <c r="G55" s="899"/>
      <c r="H55" s="1407">
        <f>'5. sz.melléklet'!G53</f>
        <v>0</v>
      </c>
    </row>
    <row r="56" spans="1:8" x14ac:dyDescent="0.2">
      <c r="A56" s="290" t="s">
        <v>462</v>
      </c>
      <c r="B56" s="291"/>
      <c r="C56" s="291"/>
      <c r="D56" s="291"/>
      <c r="E56" s="291" t="s">
        <v>345</v>
      </c>
      <c r="F56" s="292">
        <f>F54-F53</f>
        <v>261725</v>
      </c>
      <c r="G56" s="291" t="e">
        <f>SUM(G54-G53)</f>
        <v>#REF!</v>
      </c>
      <c r="H56" s="1411" t="e">
        <f>SUM(H54-H53)</f>
        <v>#REF!</v>
      </c>
    </row>
    <row r="57" spans="1:8" x14ac:dyDescent="0.2">
      <c r="A57" s="293" t="s">
        <v>161</v>
      </c>
      <c r="B57" s="294"/>
      <c r="C57" s="294"/>
      <c r="D57" s="294"/>
      <c r="E57" s="294"/>
      <c r="F57" s="295"/>
      <c r="G57" s="294"/>
      <c r="H57" s="1407">
        <f>'5. sz.melléklet'!G55</f>
        <v>0</v>
      </c>
    </row>
    <row r="58" spans="1:8" x14ac:dyDescent="0.2">
      <c r="A58" s="293" t="s">
        <v>612</v>
      </c>
      <c r="B58" s="296"/>
      <c r="C58" s="296"/>
      <c r="D58" s="296"/>
      <c r="E58" s="296"/>
      <c r="F58" s="295">
        <f>F56</f>
        <v>261725</v>
      </c>
      <c r="G58" s="294">
        <v>101398</v>
      </c>
      <c r="H58" s="1407">
        <v>661122</v>
      </c>
    </row>
    <row r="59" spans="1:8" x14ac:dyDescent="0.2">
      <c r="A59" s="297" t="s">
        <v>478</v>
      </c>
      <c r="B59" s="282"/>
      <c r="C59" s="282"/>
      <c r="D59" s="282"/>
      <c r="E59" s="282"/>
      <c r="F59" s="298">
        <v>261725</v>
      </c>
      <c r="G59" s="282">
        <v>101398</v>
      </c>
      <c r="H59" s="1407">
        <v>37255</v>
      </c>
    </row>
    <row r="60" spans="1:8" x14ac:dyDescent="0.2">
      <c r="A60" s="297" t="s">
        <v>479</v>
      </c>
      <c r="B60" s="282"/>
      <c r="C60" s="282"/>
      <c r="D60" s="282"/>
      <c r="E60" s="282"/>
      <c r="F60" s="298"/>
      <c r="G60" s="282"/>
      <c r="H60" s="1407">
        <v>623867</v>
      </c>
    </row>
    <row r="61" spans="1:8" ht="13.5" thickBot="1" x14ac:dyDescent="0.25">
      <c r="A61" s="299" t="s">
        <v>480</v>
      </c>
      <c r="B61" s="300"/>
      <c r="C61" s="300"/>
      <c r="D61" s="300"/>
      <c r="E61" s="300"/>
      <c r="F61" s="301"/>
      <c r="G61" s="300"/>
      <c r="H61" s="1412">
        <f>'5. sz.melléklet'!G59</f>
        <v>0</v>
      </c>
    </row>
    <row r="62" spans="1:8" ht="13.5" thickBot="1" x14ac:dyDescent="0.25">
      <c r="A62" s="299" t="s">
        <v>480</v>
      </c>
      <c r="B62" s="300"/>
      <c r="C62" s="300"/>
      <c r="D62" s="300"/>
      <c r="E62" s="300"/>
      <c r="F62" s="301"/>
    </row>
    <row r="63" spans="1:8" x14ac:dyDescent="0.2">
      <c r="F63" s="60"/>
    </row>
    <row r="64" spans="1:8" x14ac:dyDescent="0.2">
      <c r="F64" s="60"/>
    </row>
    <row r="65" spans="6:6" x14ac:dyDescent="0.2">
      <c r="F65" s="60"/>
    </row>
    <row r="66" spans="6:6" x14ac:dyDescent="0.2">
      <c r="F66" s="60"/>
    </row>
    <row r="67" spans="6:6" x14ac:dyDescent="0.2">
      <c r="F67" s="60"/>
    </row>
    <row r="68" spans="6:6" x14ac:dyDescent="0.2">
      <c r="F68" s="60"/>
    </row>
    <row r="69" spans="6:6" x14ac:dyDescent="0.2">
      <c r="F69" s="60"/>
    </row>
    <row r="70" spans="6:6" x14ac:dyDescent="0.2">
      <c r="F70" s="60"/>
    </row>
    <row r="71" spans="6:6" x14ac:dyDescent="0.2">
      <c r="F71" s="60"/>
    </row>
    <row r="72" spans="6:6" x14ac:dyDescent="0.2">
      <c r="F72" s="60"/>
    </row>
    <row r="73" spans="6:6" x14ac:dyDescent="0.2">
      <c r="F73" s="60"/>
    </row>
    <row r="74" spans="6:6" x14ac:dyDescent="0.2">
      <c r="F74" s="60"/>
    </row>
    <row r="75" spans="6:6" x14ac:dyDescent="0.2">
      <c r="F75" s="60"/>
    </row>
    <row r="76" spans="6:6" x14ac:dyDescent="0.2">
      <c r="F76" s="60"/>
    </row>
    <row r="77" spans="6:6" x14ac:dyDescent="0.2">
      <c r="F77" s="60"/>
    </row>
    <row r="78" spans="6:6" x14ac:dyDescent="0.2">
      <c r="F78" s="60"/>
    </row>
    <row r="79" spans="6:6" x14ac:dyDescent="0.2">
      <c r="F79" s="60"/>
    </row>
    <row r="80" spans="6:6" x14ac:dyDescent="0.2">
      <c r="F80" s="60"/>
    </row>
    <row r="81" spans="6:6" x14ac:dyDescent="0.2">
      <c r="F81" s="60"/>
    </row>
    <row r="82" spans="6:6" x14ac:dyDescent="0.2">
      <c r="F82" s="60"/>
    </row>
    <row r="83" spans="6:6" x14ac:dyDescent="0.2">
      <c r="F83" s="60"/>
    </row>
    <row r="84" spans="6:6" x14ac:dyDescent="0.2">
      <c r="F84" s="60"/>
    </row>
    <row r="85" spans="6:6" x14ac:dyDescent="0.2">
      <c r="F85" s="60"/>
    </row>
    <row r="86" spans="6:6" x14ac:dyDescent="0.2">
      <c r="F86" s="60"/>
    </row>
    <row r="87" spans="6:6" x14ac:dyDescent="0.2">
      <c r="F87" s="60"/>
    </row>
    <row r="88" spans="6:6" x14ac:dyDescent="0.2">
      <c r="F88" s="60"/>
    </row>
    <row r="89" spans="6:6" x14ac:dyDescent="0.2">
      <c r="F89" s="60"/>
    </row>
    <row r="90" spans="6:6" x14ac:dyDescent="0.2">
      <c r="F90" s="60"/>
    </row>
    <row r="91" spans="6:6" x14ac:dyDescent="0.2">
      <c r="F91" s="60"/>
    </row>
    <row r="92" spans="6:6" x14ac:dyDescent="0.2">
      <c r="F92" s="60"/>
    </row>
    <row r="93" spans="6:6" x14ac:dyDescent="0.2">
      <c r="F93" s="60"/>
    </row>
    <row r="94" spans="6:6" x14ac:dyDescent="0.2">
      <c r="F94" s="60"/>
    </row>
    <row r="95" spans="6:6" x14ac:dyDescent="0.2">
      <c r="F95" s="60"/>
    </row>
    <row r="96" spans="6:6" x14ac:dyDescent="0.2">
      <c r="F96" s="60"/>
    </row>
    <row r="97" spans="6:6" x14ac:dyDescent="0.2">
      <c r="F97" s="60"/>
    </row>
    <row r="98" spans="6:6" x14ac:dyDescent="0.2">
      <c r="F98" s="60"/>
    </row>
    <row r="99" spans="6:6" x14ac:dyDescent="0.2">
      <c r="F99" s="60"/>
    </row>
    <row r="100" spans="6:6" x14ac:dyDescent="0.2">
      <c r="F100" s="60"/>
    </row>
    <row r="101" spans="6:6" x14ac:dyDescent="0.2">
      <c r="F101" s="60"/>
    </row>
    <row r="102" spans="6:6" x14ac:dyDescent="0.2">
      <c r="F102" s="60"/>
    </row>
    <row r="103" spans="6:6" x14ac:dyDescent="0.2">
      <c r="F103" s="60"/>
    </row>
    <row r="104" spans="6:6" x14ac:dyDescent="0.2">
      <c r="F104" s="60"/>
    </row>
    <row r="105" spans="6:6" x14ac:dyDescent="0.2">
      <c r="F105" s="60"/>
    </row>
    <row r="106" spans="6:6" x14ac:dyDescent="0.2">
      <c r="F106" s="60"/>
    </row>
    <row r="107" spans="6:6" x14ac:dyDescent="0.2">
      <c r="F107" s="60"/>
    </row>
    <row r="108" spans="6:6" x14ac:dyDescent="0.2">
      <c r="F108" s="60"/>
    </row>
    <row r="109" spans="6:6" x14ac:dyDescent="0.2">
      <c r="F109" s="60"/>
    </row>
    <row r="110" spans="6:6" x14ac:dyDescent="0.2">
      <c r="F110" s="60"/>
    </row>
    <row r="111" spans="6:6" x14ac:dyDescent="0.2">
      <c r="F111" s="60"/>
    </row>
    <row r="112" spans="6:6" x14ac:dyDescent="0.2">
      <c r="F112" s="60"/>
    </row>
    <row r="113" spans="6:6" x14ac:dyDescent="0.2">
      <c r="F113" s="60"/>
    </row>
    <row r="114" spans="6:6" x14ac:dyDescent="0.2">
      <c r="F114" s="60"/>
    </row>
    <row r="115" spans="6:6" x14ac:dyDescent="0.2">
      <c r="F115" s="60"/>
    </row>
    <row r="116" spans="6:6" x14ac:dyDescent="0.2">
      <c r="F116" s="60"/>
    </row>
    <row r="117" spans="6:6" x14ac:dyDescent="0.2">
      <c r="F117" s="60"/>
    </row>
    <row r="118" spans="6:6" x14ac:dyDescent="0.2">
      <c r="F118" s="60"/>
    </row>
    <row r="119" spans="6:6" x14ac:dyDescent="0.2">
      <c r="F119" s="60"/>
    </row>
    <row r="120" spans="6:6" x14ac:dyDescent="0.2">
      <c r="F120" s="60"/>
    </row>
    <row r="121" spans="6:6" x14ac:dyDescent="0.2">
      <c r="F121" s="60"/>
    </row>
    <row r="122" spans="6:6" x14ac:dyDescent="0.2">
      <c r="F122" s="60"/>
    </row>
    <row r="123" spans="6:6" x14ac:dyDescent="0.2">
      <c r="F123" s="60"/>
    </row>
    <row r="124" spans="6:6" x14ac:dyDescent="0.2">
      <c r="F124" s="60"/>
    </row>
    <row r="125" spans="6:6" x14ac:dyDescent="0.2">
      <c r="F125" s="60"/>
    </row>
    <row r="126" spans="6:6" x14ac:dyDescent="0.2">
      <c r="F126" s="60"/>
    </row>
    <row r="127" spans="6:6" x14ac:dyDescent="0.2">
      <c r="F127" s="60"/>
    </row>
    <row r="128" spans="6:6" x14ac:dyDescent="0.2">
      <c r="F128" s="60"/>
    </row>
    <row r="129" spans="6:6" x14ac:dyDescent="0.2">
      <c r="F129" s="60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K23"/>
  <sheetViews>
    <sheetView workbookViewId="0">
      <selection sqref="A1:J23"/>
    </sheetView>
  </sheetViews>
  <sheetFormatPr defaultRowHeight="12.75" x14ac:dyDescent="0.2"/>
  <cols>
    <col min="1" max="1" width="3.42578125" customWidth="1"/>
    <col min="7" max="7" width="11.85546875" customWidth="1"/>
    <col min="9" max="9" width="6.85546875" style="96" customWidth="1"/>
    <col min="10" max="10" width="13.42578125" style="100" customWidth="1"/>
  </cols>
  <sheetData>
    <row r="1" spans="1:11" ht="30" customHeight="1" x14ac:dyDescent="0.2">
      <c r="A1" s="1987" t="s">
        <v>526</v>
      </c>
      <c r="B1" s="1988"/>
      <c r="C1" s="1988"/>
      <c r="D1" s="1988"/>
      <c r="E1" s="1988"/>
      <c r="F1" s="1988"/>
      <c r="G1" s="1988"/>
      <c r="H1" s="1988"/>
      <c r="I1" s="1988"/>
      <c r="J1" s="1989"/>
    </row>
    <row r="2" spans="1:11" ht="3.75" customHeight="1" x14ac:dyDescent="0.2">
      <c r="A2" s="169"/>
      <c r="B2" s="4"/>
      <c r="C2" s="4"/>
      <c r="D2" s="4"/>
      <c r="E2" s="4"/>
      <c r="F2" s="4"/>
      <c r="G2" s="4"/>
      <c r="H2" s="4"/>
      <c r="I2" s="205"/>
      <c r="J2" s="213"/>
    </row>
    <row r="3" spans="1:11" ht="15.75" customHeight="1" x14ac:dyDescent="0.2">
      <c r="A3" s="169"/>
      <c r="B3" s="4"/>
      <c r="C3" s="4"/>
      <c r="D3" s="4"/>
      <c r="E3" s="4"/>
      <c r="F3" s="4"/>
      <c r="G3" s="4"/>
      <c r="H3" s="4"/>
      <c r="I3" s="205"/>
      <c r="J3" s="213"/>
    </row>
    <row r="4" spans="1:11" ht="0.75" customHeight="1" thickBot="1" x14ac:dyDescent="0.25">
      <c r="A4" s="169"/>
      <c r="B4" s="4"/>
      <c r="C4" s="4"/>
      <c r="D4" s="4"/>
      <c r="E4" s="4"/>
      <c r="F4" s="4"/>
      <c r="G4" s="4"/>
      <c r="H4" s="4"/>
      <c r="I4" s="205"/>
      <c r="J4" s="213"/>
    </row>
    <row r="5" spans="1:11" x14ac:dyDescent="0.2">
      <c r="A5" s="214" t="s">
        <v>174</v>
      </c>
      <c r="B5" s="215"/>
      <c r="C5" s="215"/>
      <c r="D5" s="215"/>
      <c r="E5" s="215"/>
      <c r="F5" s="302"/>
      <c r="G5" s="302"/>
      <c r="H5" s="302"/>
      <c r="I5" s="302"/>
      <c r="J5" s="422"/>
    </row>
    <row r="6" spans="1:11" ht="13.5" thickBot="1" x14ac:dyDescent="0.25">
      <c r="A6" s="216"/>
      <c r="B6" s="217"/>
      <c r="C6" s="217"/>
      <c r="D6" s="217"/>
      <c r="E6" s="217"/>
      <c r="F6" s="209"/>
      <c r="G6" s="209"/>
      <c r="H6" s="209"/>
      <c r="I6" s="209"/>
      <c r="J6" s="304"/>
    </row>
    <row r="7" spans="1:11" ht="13.5" thickBot="1" x14ac:dyDescent="0.25">
      <c r="A7" s="219"/>
      <c r="B7" s="59"/>
      <c r="C7" s="59"/>
      <c r="D7" s="59"/>
      <c r="E7" s="59"/>
      <c r="F7" s="205"/>
      <c r="G7" s="205"/>
      <c r="H7" s="205"/>
      <c r="I7" s="205"/>
      <c r="J7" s="213"/>
    </row>
    <row r="8" spans="1:11" x14ac:dyDescent="0.2">
      <c r="A8" s="214" t="s">
        <v>85</v>
      </c>
      <c r="B8" s="215"/>
      <c r="C8" s="215"/>
      <c r="D8" s="215"/>
      <c r="E8" s="215"/>
      <c r="F8" s="302"/>
      <c r="G8" s="302"/>
      <c r="H8" s="302"/>
      <c r="I8" s="302"/>
      <c r="J8" s="303">
        <f>F10+F11+F13+F14</f>
        <v>18679</v>
      </c>
    </row>
    <row r="9" spans="1:11" x14ac:dyDescent="0.2">
      <c r="A9" s="219"/>
      <c r="B9" s="968" t="s">
        <v>81</v>
      </c>
      <c r="C9" s="59"/>
      <c r="D9" s="59"/>
      <c r="E9" s="59"/>
      <c r="F9" s="205"/>
      <c r="G9" s="205"/>
      <c r="H9" s="205"/>
      <c r="I9" s="205"/>
      <c r="J9" s="213"/>
    </row>
    <row r="10" spans="1:11" x14ac:dyDescent="0.2">
      <c r="A10" s="219"/>
      <c r="B10" s="59"/>
      <c r="C10" s="59" t="s">
        <v>82</v>
      </c>
      <c r="D10" s="59"/>
      <c r="E10" s="59"/>
      <c r="F10" s="306">
        <v>47</v>
      </c>
      <c r="G10" s="205"/>
      <c r="H10" s="205"/>
      <c r="I10" s="205"/>
      <c r="J10" s="213"/>
    </row>
    <row r="11" spans="1:11" x14ac:dyDescent="0.2">
      <c r="A11" s="219"/>
      <c r="B11" s="59"/>
      <c r="C11" s="59" t="s">
        <v>83</v>
      </c>
      <c r="D11" s="59"/>
      <c r="E11" s="59"/>
      <c r="F11" s="306">
        <v>11252</v>
      </c>
      <c r="G11" s="205"/>
      <c r="H11" s="205"/>
      <c r="I11" s="205"/>
      <c r="J11" s="213"/>
    </row>
    <row r="12" spans="1:11" x14ac:dyDescent="0.2">
      <c r="A12" s="219"/>
      <c r="B12" s="968" t="s">
        <v>84</v>
      </c>
      <c r="C12" s="59"/>
      <c r="D12" s="59"/>
      <c r="E12" s="59"/>
      <c r="F12" s="306"/>
      <c r="G12" s="205"/>
      <c r="H12" s="205"/>
      <c r="I12" s="205"/>
      <c r="J12" s="213"/>
    </row>
    <row r="13" spans="1:11" x14ac:dyDescent="0.2">
      <c r="A13" s="219"/>
      <c r="B13" s="59"/>
      <c r="C13" s="59" t="s">
        <v>82</v>
      </c>
      <c r="D13" s="59"/>
      <c r="E13" s="59"/>
      <c r="F13" s="306">
        <v>1428</v>
      </c>
      <c r="G13" s="205"/>
      <c r="H13" s="205"/>
      <c r="I13" s="205"/>
      <c r="J13" s="213"/>
    </row>
    <row r="14" spans="1:11" ht="13.5" thickBot="1" x14ac:dyDescent="0.25">
      <c r="A14" s="216"/>
      <c r="B14" s="217"/>
      <c r="C14" s="217" t="s">
        <v>83</v>
      </c>
      <c r="D14" s="217"/>
      <c r="E14" s="217"/>
      <c r="F14" s="307">
        <v>5952</v>
      </c>
      <c r="G14" s="209"/>
      <c r="H14" s="209"/>
      <c r="I14" s="209"/>
      <c r="J14" s="304"/>
    </row>
    <row r="15" spans="1:11" ht="13.5" thickBot="1" x14ac:dyDescent="0.25">
      <c r="A15" s="219"/>
      <c r="B15" s="59"/>
      <c r="C15" s="59"/>
      <c r="D15" s="59"/>
      <c r="E15" s="59"/>
      <c r="F15" s="205"/>
      <c r="G15" s="205"/>
      <c r="H15" s="205"/>
      <c r="I15" s="205"/>
      <c r="J15" s="213"/>
    </row>
    <row r="16" spans="1:11" x14ac:dyDescent="0.2">
      <c r="A16" s="214" t="s">
        <v>175</v>
      </c>
      <c r="B16" s="215"/>
      <c r="C16" s="215"/>
      <c r="D16" s="215"/>
      <c r="E16" s="215"/>
      <c r="F16" s="302"/>
      <c r="G16" s="302"/>
      <c r="H16" s="302"/>
      <c r="I16" s="302"/>
      <c r="J16" s="303">
        <f>I17</f>
        <v>0</v>
      </c>
      <c r="K16" s="4"/>
    </row>
    <row r="17" spans="1:10" ht="13.5" thickBot="1" x14ac:dyDescent="0.25">
      <c r="A17" s="216"/>
      <c r="B17" s="217"/>
      <c r="C17" s="217"/>
      <c r="D17" s="217"/>
      <c r="E17" s="217"/>
      <c r="F17" s="209"/>
      <c r="G17" s="209"/>
      <c r="H17" s="209"/>
      <c r="I17" s="308"/>
      <c r="J17" s="304"/>
    </row>
    <row r="18" spans="1:10" ht="0.75" customHeight="1" x14ac:dyDescent="0.2">
      <c r="A18" s="219"/>
      <c r="B18" s="59"/>
      <c r="C18" s="59"/>
      <c r="D18" s="59"/>
      <c r="E18" s="59"/>
      <c r="F18" s="205"/>
      <c r="G18" s="205"/>
      <c r="H18" s="205"/>
      <c r="I18" s="205"/>
      <c r="J18" s="213"/>
    </row>
    <row r="19" spans="1:10" ht="0.75" customHeight="1" thickBot="1" x14ac:dyDescent="0.25">
      <c r="A19" s="219"/>
      <c r="B19" s="59"/>
      <c r="C19" s="59"/>
      <c r="D19" s="59"/>
      <c r="E19" s="59"/>
      <c r="F19" s="205"/>
      <c r="G19" s="205"/>
      <c r="H19" s="205"/>
      <c r="I19" s="205"/>
      <c r="J19" s="213"/>
    </row>
    <row r="20" spans="1:10" x14ac:dyDescent="0.2">
      <c r="A20" s="214" t="s">
        <v>176</v>
      </c>
      <c r="B20" s="221"/>
      <c r="C20" s="221"/>
      <c r="D20" s="221"/>
      <c r="E20" s="221"/>
      <c r="F20" s="305"/>
      <c r="G20" s="305"/>
      <c r="H20" s="305"/>
      <c r="I20" s="305"/>
      <c r="J20" s="303">
        <v>0</v>
      </c>
    </row>
    <row r="21" spans="1:10" ht="13.5" thickBot="1" x14ac:dyDescent="0.25">
      <c r="A21" s="216"/>
      <c r="B21" s="217"/>
      <c r="C21" s="369"/>
      <c r="D21" s="217"/>
      <c r="E21" s="217"/>
      <c r="F21" s="217"/>
      <c r="G21" s="217"/>
      <c r="H21" s="308"/>
      <c r="I21" s="217"/>
      <c r="J21" s="218"/>
    </row>
    <row r="22" spans="1:10" ht="0.75" customHeight="1" thickBot="1" x14ac:dyDescent="0.25">
      <c r="A22" s="219"/>
      <c r="B22" s="59"/>
      <c r="C22" s="59"/>
      <c r="D22" s="59"/>
      <c r="E22" s="59"/>
      <c r="F22" s="59"/>
      <c r="G22" s="59"/>
      <c r="H22" s="59"/>
      <c r="I22" s="59"/>
      <c r="J22" s="220"/>
    </row>
    <row r="23" spans="1:10" ht="26.25" customHeight="1" thickBot="1" x14ac:dyDescent="0.25">
      <c r="A23" s="1984" t="s">
        <v>92</v>
      </c>
      <c r="B23" s="1985"/>
      <c r="C23" s="1985"/>
      <c r="D23" s="1985"/>
      <c r="E23" s="1985"/>
      <c r="F23" s="1985"/>
      <c r="G23" s="1985"/>
      <c r="H23" s="1985"/>
      <c r="I23" s="1985"/>
      <c r="J23" s="1986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J12"/>
    </sheetView>
  </sheetViews>
  <sheetFormatPr defaultRowHeight="12.75" x14ac:dyDescent="0.2"/>
  <cols>
    <col min="1" max="1" width="33.42578125" customWidth="1"/>
    <col min="2" max="8" width="11.7109375" customWidth="1"/>
    <col min="9" max="9" width="7.85546875" customWidth="1"/>
  </cols>
  <sheetData>
    <row r="1" spans="1:21" s="64" customFormat="1" ht="27.75" customHeight="1" x14ac:dyDescent="0.2">
      <c r="A1" s="1887" t="s">
        <v>527</v>
      </c>
      <c r="B1" s="1888"/>
      <c r="C1" s="1888"/>
      <c r="D1" s="1888"/>
      <c r="E1" s="1888"/>
      <c r="F1" s="1888"/>
      <c r="G1" s="1888"/>
      <c r="H1" s="1888"/>
      <c r="I1" s="1888"/>
      <c r="J1" s="1888"/>
    </row>
    <row r="2" spans="1:21" s="64" customFormat="1" ht="0.75" customHeight="1" x14ac:dyDescent="0.2">
      <c r="A2" s="61" t="s">
        <v>157</v>
      </c>
    </row>
    <row r="3" spans="1:21" ht="0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6.5" thickBot="1" x14ac:dyDescent="0.3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ht="16.5" thickBot="1" x14ac:dyDescent="0.3">
      <c r="A5" s="358" t="s">
        <v>178</v>
      </c>
      <c r="B5" s="359" t="s">
        <v>162</v>
      </c>
      <c r="C5" s="359" t="s">
        <v>463</v>
      </c>
      <c r="D5" s="359" t="s">
        <v>464</v>
      </c>
      <c r="E5" s="358" t="s">
        <v>163</v>
      </c>
      <c r="F5" s="385"/>
      <c r="G5" s="310"/>
      <c r="H5" s="310"/>
      <c r="I5" s="310"/>
      <c r="J5" s="310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16.5" customHeight="1" thickBot="1" x14ac:dyDescent="0.3">
      <c r="A6" s="360" t="s">
        <v>179</v>
      </c>
      <c r="B6" s="360">
        <v>399400</v>
      </c>
      <c r="C6" s="360">
        <v>399400</v>
      </c>
      <c r="D6" s="360">
        <v>393643</v>
      </c>
      <c r="E6" s="360">
        <v>38485</v>
      </c>
      <c r="F6" s="384"/>
      <c r="G6" s="310"/>
      <c r="H6" s="310"/>
      <c r="I6" s="310"/>
      <c r="J6" s="310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0.75" customHeight="1" x14ac:dyDescent="0.25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 s="90" customFormat="1" ht="8.25" customHeight="1" x14ac:dyDescent="0.25">
      <c r="A8" s="541"/>
      <c r="B8" s="311"/>
      <c r="C8" s="311"/>
      <c r="D8" s="311"/>
      <c r="E8" s="311"/>
      <c r="F8" s="311"/>
      <c r="G8" s="312"/>
      <c r="H8" s="312"/>
      <c r="I8" s="312"/>
      <c r="J8" s="312"/>
    </row>
    <row r="9" spans="1:21" ht="15.75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1" ht="34.5" customHeight="1" x14ac:dyDescent="0.25">
      <c r="A10" s="1990" t="s">
        <v>613</v>
      </c>
      <c r="B10" s="1991"/>
      <c r="C10" s="1991"/>
      <c r="D10" s="1991"/>
      <c r="E10" s="1991"/>
      <c r="F10" s="1991"/>
      <c r="G10" s="1991"/>
      <c r="H10" s="1991"/>
      <c r="I10" s="1991"/>
      <c r="J10" s="10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15.75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1" ht="15.75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5.75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5.75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21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x14ac:dyDescent="0.2">
      <c r="A20" s="309"/>
      <c r="B20" s="101"/>
      <c r="C20" s="101"/>
      <c r="D20" s="101"/>
      <c r="E20" s="101"/>
      <c r="F20" s="309"/>
      <c r="G20" s="309"/>
      <c r="H20" s="309"/>
      <c r="I20" s="309"/>
    </row>
    <row r="21" spans="1:21" x14ac:dyDescent="0.2">
      <c r="A21" s="309"/>
      <c r="B21" s="101"/>
      <c r="C21" s="101"/>
      <c r="D21" s="101"/>
      <c r="E21" s="101"/>
      <c r="F21" s="309"/>
      <c r="G21" s="309"/>
      <c r="H21" s="309"/>
      <c r="I21" s="309"/>
    </row>
    <row r="22" spans="1:21" x14ac:dyDescent="0.2">
      <c r="A22" s="309"/>
      <c r="B22" s="101"/>
      <c r="C22" s="101"/>
      <c r="D22" s="101"/>
      <c r="E22" s="101"/>
      <c r="F22" s="309"/>
      <c r="G22" s="309"/>
      <c r="H22" s="309"/>
      <c r="I22" s="309"/>
    </row>
    <row r="23" spans="1:21" x14ac:dyDescent="0.2">
      <c r="A23" s="309"/>
      <c r="B23" s="101"/>
      <c r="C23" s="101"/>
      <c r="D23" s="101"/>
      <c r="E23" s="101"/>
      <c r="F23" s="309"/>
      <c r="G23" s="309"/>
      <c r="H23" s="309"/>
      <c r="I23" s="309"/>
    </row>
    <row r="24" spans="1:21" x14ac:dyDescent="0.2">
      <c r="A24" s="309"/>
      <c r="B24" s="101"/>
      <c r="C24" s="101"/>
      <c r="D24" s="101"/>
      <c r="E24" s="101"/>
      <c r="F24" s="309"/>
      <c r="G24" s="309"/>
      <c r="H24" s="309"/>
      <c r="I24" s="309"/>
    </row>
    <row r="25" spans="1:21" x14ac:dyDescent="0.2">
      <c r="A25" s="309"/>
      <c r="B25" s="101"/>
      <c r="C25" s="101"/>
      <c r="D25" s="101"/>
      <c r="E25" s="101"/>
      <c r="F25" s="309"/>
      <c r="G25" s="309"/>
      <c r="H25" s="309"/>
      <c r="I25" s="309"/>
    </row>
    <row r="26" spans="1:21" x14ac:dyDescent="0.2">
      <c r="A26" s="309"/>
      <c r="B26" s="101"/>
      <c r="C26" s="101"/>
      <c r="D26" s="101"/>
      <c r="E26" s="101"/>
      <c r="F26" s="309"/>
      <c r="G26" s="309"/>
      <c r="H26" s="309"/>
      <c r="I26" s="309"/>
    </row>
    <row r="27" spans="1:21" x14ac:dyDescent="0.2">
      <c r="A27" s="309"/>
      <c r="B27" s="101"/>
      <c r="C27" s="101"/>
      <c r="D27" s="101"/>
      <c r="E27" s="101"/>
      <c r="F27" s="309"/>
      <c r="G27" s="309"/>
      <c r="H27" s="309"/>
      <c r="I27" s="309"/>
    </row>
    <row r="28" spans="1:21" x14ac:dyDescent="0.2">
      <c r="A28" s="309"/>
      <c r="B28" s="101"/>
      <c r="C28" s="101"/>
      <c r="D28" s="101"/>
      <c r="E28" s="101"/>
      <c r="F28" s="309"/>
      <c r="G28" s="309"/>
      <c r="H28" s="309"/>
      <c r="I28" s="309"/>
    </row>
    <row r="29" spans="1:21" x14ac:dyDescent="0.2">
      <c r="A29" s="309"/>
      <c r="B29" s="101"/>
      <c r="C29" s="309"/>
      <c r="D29" s="309"/>
      <c r="E29" s="309"/>
      <c r="F29" s="309"/>
      <c r="G29" s="309"/>
      <c r="H29" s="309"/>
      <c r="I29" s="309"/>
    </row>
    <row r="30" spans="1:21" x14ac:dyDescent="0.2">
      <c r="A30" s="309"/>
      <c r="B30" s="309"/>
      <c r="C30" s="309"/>
      <c r="D30" s="309"/>
      <c r="E30" s="309"/>
      <c r="F30" s="309"/>
      <c r="G30" s="309"/>
      <c r="H30" s="309"/>
      <c r="I30" s="309"/>
    </row>
    <row r="31" spans="1:21" x14ac:dyDescent="0.2">
      <c r="A31" s="309"/>
      <c r="B31" s="309"/>
      <c r="C31" s="309"/>
      <c r="D31" s="309"/>
      <c r="E31" s="309"/>
      <c r="F31" s="309"/>
      <c r="G31" s="309"/>
      <c r="H31" s="309"/>
      <c r="I31" s="309"/>
    </row>
    <row r="32" spans="1:21" x14ac:dyDescent="0.2">
      <c r="A32" s="309"/>
      <c r="B32" s="309"/>
      <c r="C32" s="309"/>
      <c r="D32" s="309"/>
      <c r="E32" s="309"/>
      <c r="F32" s="309"/>
      <c r="G32" s="309"/>
      <c r="H32" s="309"/>
      <c r="I32" s="309"/>
    </row>
    <row r="33" spans="1:9" x14ac:dyDescent="0.2">
      <c r="A33" s="309"/>
      <c r="B33" s="309"/>
      <c r="C33" s="309"/>
      <c r="D33" s="309"/>
      <c r="E33" s="309"/>
      <c r="F33" s="309"/>
      <c r="G33" s="309"/>
      <c r="H33" s="309"/>
      <c r="I33" s="309"/>
    </row>
    <row r="34" spans="1:9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x14ac:dyDescent="0.2">
      <c r="A35" s="309"/>
      <c r="B35" s="309"/>
      <c r="C35" s="309"/>
      <c r="D35" s="309"/>
      <c r="E35" s="309"/>
      <c r="F35" s="309"/>
      <c r="G35" s="309"/>
      <c r="H35" s="309"/>
      <c r="I35" s="309"/>
    </row>
    <row r="36" spans="1:9" x14ac:dyDescent="0.2">
      <c r="A36" s="309"/>
      <c r="B36" s="309"/>
      <c r="C36" s="309"/>
      <c r="D36" s="309"/>
      <c r="E36" s="309"/>
      <c r="F36" s="309"/>
      <c r="G36" s="309"/>
      <c r="H36" s="309"/>
      <c r="I36" s="309"/>
    </row>
    <row r="37" spans="1:9" x14ac:dyDescent="0.2">
      <c r="A37" s="309"/>
      <c r="B37" s="309"/>
      <c r="C37" s="309"/>
      <c r="D37" s="309"/>
      <c r="E37" s="309"/>
      <c r="F37" s="309"/>
      <c r="G37" s="309"/>
      <c r="H37" s="309"/>
      <c r="I37" s="309"/>
    </row>
    <row r="38" spans="1:9" x14ac:dyDescent="0.2">
      <c r="A38" s="309"/>
      <c r="B38" s="309"/>
      <c r="C38" s="309"/>
      <c r="D38" s="309"/>
      <c r="E38" s="309"/>
      <c r="F38" s="309"/>
      <c r="G38" s="309"/>
      <c r="H38" s="309"/>
      <c r="I38" s="309"/>
    </row>
    <row r="39" spans="1:9" x14ac:dyDescent="0.2">
      <c r="A39" s="309"/>
      <c r="B39" s="309"/>
      <c r="C39" s="309"/>
      <c r="D39" s="309"/>
      <c r="E39" s="309"/>
      <c r="F39" s="309"/>
      <c r="G39" s="309"/>
      <c r="H39" s="309"/>
      <c r="I39" s="309"/>
    </row>
    <row r="40" spans="1:9" x14ac:dyDescent="0.2">
      <c r="A40" s="309"/>
      <c r="B40" s="309"/>
      <c r="C40" s="309"/>
      <c r="D40" s="309"/>
      <c r="E40" s="309"/>
      <c r="F40" s="309"/>
      <c r="G40" s="309"/>
      <c r="H40" s="309"/>
      <c r="I40" s="309"/>
    </row>
    <row r="41" spans="1:9" x14ac:dyDescent="0.2">
      <c r="A41" s="309"/>
      <c r="B41" s="309"/>
      <c r="C41" s="309"/>
      <c r="D41" s="309"/>
      <c r="E41" s="309"/>
      <c r="F41" s="309"/>
      <c r="G41" s="309"/>
      <c r="H41" s="309"/>
      <c r="I41" s="309"/>
    </row>
    <row r="42" spans="1:9" x14ac:dyDescent="0.2">
      <c r="A42" s="309"/>
      <c r="B42" s="309"/>
      <c r="C42" s="309"/>
      <c r="D42" s="309"/>
      <c r="E42" s="309"/>
      <c r="F42" s="309"/>
      <c r="G42" s="309"/>
      <c r="H42" s="309"/>
      <c r="I42" s="309"/>
    </row>
    <row r="43" spans="1:9" x14ac:dyDescent="0.2">
      <c r="A43" s="309"/>
      <c r="B43" s="309"/>
      <c r="C43" s="309"/>
      <c r="D43" s="309"/>
      <c r="E43" s="309"/>
      <c r="F43" s="309"/>
      <c r="G43" s="309"/>
      <c r="H43" s="309"/>
      <c r="I43" s="309"/>
    </row>
    <row r="44" spans="1:9" x14ac:dyDescent="0.2">
      <c r="A44" s="309"/>
      <c r="B44" s="309"/>
      <c r="C44" s="309"/>
      <c r="D44" s="309"/>
      <c r="E44" s="309"/>
      <c r="F44" s="309"/>
      <c r="G44" s="309"/>
      <c r="H44" s="309"/>
      <c r="I44" s="309"/>
    </row>
    <row r="45" spans="1:9" x14ac:dyDescent="0.2">
      <c r="A45" s="309"/>
      <c r="B45" s="309"/>
      <c r="C45" s="309"/>
      <c r="D45" s="309"/>
      <c r="E45" s="309"/>
      <c r="F45" s="309"/>
      <c r="G45" s="309"/>
      <c r="H45" s="309"/>
      <c r="I45" s="309"/>
    </row>
    <row r="46" spans="1:9" x14ac:dyDescent="0.2">
      <c r="A46" s="309"/>
      <c r="B46" s="309"/>
      <c r="C46" s="309"/>
      <c r="D46" s="309"/>
      <c r="E46" s="309"/>
      <c r="F46" s="309"/>
      <c r="G46" s="309"/>
      <c r="H46" s="309"/>
      <c r="I46" s="309"/>
    </row>
    <row r="47" spans="1:9" x14ac:dyDescent="0.2">
      <c r="A47" s="309"/>
      <c r="B47" s="309"/>
      <c r="C47" s="309"/>
      <c r="D47" s="309"/>
      <c r="E47" s="309"/>
      <c r="F47" s="309"/>
      <c r="G47" s="309"/>
      <c r="H47" s="309"/>
      <c r="I47" s="309"/>
    </row>
    <row r="48" spans="1:9" x14ac:dyDescent="0.2">
      <c r="A48" s="309"/>
      <c r="B48" s="309"/>
      <c r="C48" s="309"/>
      <c r="D48" s="309"/>
      <c r="E48" s="309"/>
      <c r="F48" s="309"/>
      <c r="G48" s="309"/>
      <c r="H48" s="309"/>
      <c r="I48" s="309"/>
    </row>
    <row r="49" spans="1:9" x14ac:dyDescent="0.2">
      <c r="A49" s="309"/>
      <c r="B49" s="309"/>
      <c r="C49" s="309"/>
      <c r="D49" s="309"/>
      <c r="E49" s="309"/>
      <c r="F49" s="309"/>
      <c r="G49" s="309"/>
      <c r="H49" s="309"/>
      <c r="I49" s="309"/>
    </row>
    <row r="50" spans="1:9" x14ac:dyDescent="0.2">
      <c r="A50" s="309"/>
      <c r="B50" s="309"/>
      <c r="C50" s="309"/>
      <c r="D50" s="309"/>
      <c r="E50" s="309"/>
      <c r="F50" s="309"/>
      <c r="G50" s="309"/>
      <c r="H50" s="309"/>
      <c r="I50" s="309"/>
    </row>
    <row r="51" spans="1:9" x14ac:dyDescent="0.2">
      <c r="A51" s="309"/>
      <c r="B51" s="309"/>
      <c r="C51" s="309"/>
      <c r="D51" s="309"/>
      <c r="E51" s="309"/>
      <c r="F51" s="309"/>
      <c r="G51" s="309"/>
      <c r="H51" s="309"/>
      <c r="I51" s="309"/>
    </row>
    <row r="52" spans="1:9" x14ac:dyDescent="0.2">
      <c r="A52" s="309"/>
      <c r="B52" s="309"/>
      <c r="C52" s="309"/>
      <c r="D52" s="309"/>
      <c r="E52" s="309"/>
      <c r="F52" s="309"/>
      <c r="G52" s="309"/>
      <c r="H52" s="309"/>
      <c r="I52" s="309"/>
    </row>
    <row r="53" spans="1:9" x14ac:dyDescent="0.2">
      <c r="A53" s="309"/>
      <c r="B53" s="309"/>
      <c r="C53" s="309"/>
      <c r="D53" s="309"/>
      <c r="E53" s="309"/>
      <c r="F53" s="309"/>
      <c r="G53" s="309"/>
      <c r="H53" s="309"/>
      <c r="I53" s="309"/>
    </row>
    <row r="54" spans="1:9" x14ac:dyDescent="0.2">
      <c r="A54" s="309"/>
      <c r="B54" s="309"/>
      <c r="C54" s="309"/>
      <c r="D54" s="309"/>
      <c r="E54" s="309"/>
      <c r="F54" s="309"/>
      <c r="G54" s="309"/>
      <c r="H54" s="309"/>
      <c r="I54" s="309"/>
    </row>
    <row r="55" spans="1:9" x14ac:dyDescent="0.2">
      <c r="A55" s="309"/>
      <c r="B55" s="309"/>
      <c r="C55" s="309"/>
      <c r="D55" s="309"/>
      <c r="E55" s="309"/>
      <c r="F55" s="309"/>
      <c r="G55" s="309"/>
      <c r="H55" s="309"/>
      <c r="I55" s="309"/>
    </row>
    <row r="56" spans="1:9" x14ac:dyDescent="0.2">
      <c r="A56" s="309"/>
      <c r="B56" s="309"/>
      <c r="C56" s="309"/>
      <c r="D56" s="309"/>
      <c r="E56" s="309"/>
      <c r="F56" s="309"/>
      <c r="G56" s="309"/>
      <c r="H56" s="309"/>
      <c r="I56" s="309"/>
    </row>
    <row r="57" spans="1:9" x14ac:dyDescent="0.2">
      <c r="A57" s="309"/>
      <c r="B57" s="309"/>
      <c r="C57" s="309"/>
      <c r="D57" s="309"/>
      <c r="E57" s="309"/>
      <c r="F57" s="309"/>
      <c r="G57" s="309"/>
      <c r="H57" s="309"/>
      <c r="I57" s="309"/>
    </row>
    <row r="58" spans="1:9" x14ac:dyDescent="0.2">
      <c r="A58" s="309"/>
      <c r="B58" s="309"/>
      <c r="C58" s="309"/>
      <c r="D58" s="309"/>
      <c r="E58" s="309"/>
      <c r="F58" s="309"/>
      <c r="G58" s="309"/>
      <c r="H58" s="309"/>
      <c r="I58" s="309"/>
    </row>
    <row r="59" spans="1:9" x14ac:dyDescent="0.2">
      <c r="A59" s="309"/>
      <c r="B59" s="309"/>
      <c r="C59" s="309"/>
      <c r="D59" s="309"/>
      <c r="E59" s="309"/>
      <c r="F59" s="309"/>
      <c r="G59" s="309"/>
      <c r="H59" s="309"/>
      <c r="I59" s="309"/>
    </row>
    <row r="60" spans="1:9" x14ac:dyDescent="0.2">
      <c r="A60" s="309"/>
      <c r="B60" s="309"/>
      <c r="C60" s="309"/>
      <c r="D60" s="309"/>
      <c r="E60" s="309"/>
      <c r="F60" s="309"/>
      <c r="G60" s="309"/>
      <c r="H60" s="309"/>
      <c r="I60" s="309"/>
    </row>
    <row r="61" spans="1:9" x14ac:dyDescent="0.2">
      <c r="A61" s="309"/>
      <c r="B61" s="309"/>
      <c r="C61" s="309"/>
      <c r="D61" s="309"/>
      <c r="E61" s="309"/>
      <c r="F61" s="309"/>
      <c r="G61" s="309"/>
      <c r="H61" s="309"/>
      <c r="I61" s="309"/>
    </row>
    <row r="62" spans="1:9" x14ac:dyDescent="0.2">
      <c r="A62" s="309"/>
      <c r="B62" s="309"/>
      <c r="C62" s="309"/>
      <c r="D62" s="309"/>
      <c r="E62" s="309"/>
      <c r="F62" s="309"/>
      <c r="G62" s="309"/>
      <c r="H62" s="309"/>
      <c r="I62" s="309"/>
    </row>
    <row r="63" spans="1:9" x14ac:dyDescent="0.2">
      <c r="A63" s="309"/>
      <c r="B63" s="309"/>
      <c r="C63" s="309"/>
      <c r="D63" s="309"/>
      <c r="E63" s="309"/>
      <c r="F63" s="309"/>
      <c r="G63" s="309"/>
      <c r="H63" s="309"/>
      <c r="I63" s="309"/>
    </row>
    <row r="64" spans="1:9" x14ac:dyDescent="0.2">
      <c r="A64" s="309"/>
      <c r="B64" s="309"/>
      <c r="C64" s="309"/>
      <c r="D64" s="309"/>
      <c r="E64" s="309"/>
      <c r="F64" s="309"/>
      <c r="G64" s="309"/>
      <c r="H64" s="309"/>
      <c r="I64" s="309"/>
    </row>
    <row r="65" spans="1:9" x14ac:dyDescent="0.2">
      <c r="A65" s="309"/>
      <c r="B65" s="309"/>
      <c r="C65" s="309"/>
      <c r="D65" s="309"/>
      <c r="E65" s="309"/>
      <c r="F65" s="309"/>
      <c r="G65" s="309"/>
      <c r="H65" s="309"/>
      <c r="I65" s="309"/>
    </row>
    <row r="66" spans="1:9" x14ac:dyDescent="0.2">
      <c r="A66" s="309"/>
      <c r="B66" s="309"/>
      <c r="C66" s="309"/>
      <c r="D66" s="309"/>
      <c r="E66" s="309"/>
      <c r="F66" s="309"/>
      <c r="G66" s="309"/>
      <c r="H66" s="309"/>
      <c r="I66" s="309"/>
    </row>
    <row r="67" spans="1:9" x14ac:dyDescent="0.2">
      <c r="A67" s="309"/>
      <c r="B67" s="309"/>
      <c r="C67" s="309"/>
      <c r="D67" s="309"/>
      <c r="E67" s="309"/>
      <c r="F67" s="309"/>
      <c r="G67" s="309"/>
      <c r="H67" s="309"/>
      <c r="I67" s="309"/>
    </row>
    <row r="68" spans="1:9" x14ac:dyDescent="0.2">
      <c r="A68" s="309"/>
      <c r="B68" s="309"/>
      <c r="C68" s="309"/>
      <c r="D68" s="309"/>
      <c r="E68" s="309"/>
      <c r="F68" s="309"/>
      <c r="G68" s="309"/>
      <c r="H68" s="309"/>
      <c r="I68" s="309"/>
    </row>
    <row r="69" spans="1:9" x14ac:dyDescent="0.2">
      <c r="A69" s="309"/>
      <c r="B69" s="309"/>
      <c r="C69" s="309"/>
      <c r="D69" s="309"/>
      <c r="E69" s="309"/>
      <c r="F69" s="309"/>
      <c r="G69" s="309"/>
      <c r="H69" s="309"/>
      <c r="I69" s="309"/>
    </row>
    <row r="70" spans="1:9" x14ac:dyDescent="0.2">
      <c r="A70" s="309"/>
      <c r="B70" s="309"/>
      <c r="C70" s="309"/>
      <c r="D70" s="309"/>
      <c r="E70" s="309"/>
      <c r="F70" s="309"/>
      <c r="G70" s="309"/>
      <c r="H70" s="309"/>
      <c r="I70" s="309"/>
    </row>
    <row r="71" spans="1:9" x14ac:dyDescent="0.2">
      <c r="A71" s="309"/>
      <c r="B71" s="309"/>
      <c r="C71" s="309"/>
      <c r="D71" s="309"/>
      <c r="E71" s="309"/>
      <c r="F71" s="309"/>
      <c r="G71" s="309"/>
      <c r="H71" s="309"/>
      <c r="I71" s="309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horizontalDpi="4294967293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K4" sqref="K4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0.7109375" customWidth="1"/>
    <col min="9" max="9" width="12.7109375" customWidth="1"/>
    <col min="13" max="13" width="14.85546875" customWidth="1"/>
  </cols>
  <sheetData>
    <row r="1" spans="1:13" ht="58.5" customHeight="1" x14ac:dyDescent="0.2">
      <c r="A1" s="1888" t="s">
        <v>189</v>
      </c>
      <c r="B1" s="1992"/>
      <c r="C1" s="1992"/>
      <c r="D1" s="1992"/>
      <c r="E1" s="1992"/>
      <c r="F1" s="1992"/>
      <c r="G1" s="1992"/>
      <c r="H1" s="1992"/>
      <c r="I1" s="959"/>
      <c r="J1" s="959"/>
      <c r="K1" s="1871" t="s">
        <v>621</v>
      </c>
      <c r="L1" s="959"/>
      <c r="M1" s="959"/>
    </row>
    <row r="2" spans="1:13" x14ac:dyDescent="0.2">
      <c r="F2" s="12"/>
    </row>
    <row r="3" spans="1:13" ht="30" customHeight="1" x14ac:dyDescent="0.2">
      <c r="A3" s="1994" t="s">
        <v>388</v>
      </c>
      <c r="B3" s="1992"/>
      <c r="C3" s="1992"/>
      <c r="D3" s="1992"/>
      <c r="E3" s="1992"/>
      <c r="F3" s="1992"/>
      <c r="G3" s="1992"/>
      <c r="H3" s="1992"/>
    </row>
    <row r="6" spans="1:13" x14ac:dyDescent="0.2">
      <c r="A6" s="374" t="s">
        <v>387</v>
      </c>
      <c r="B6" s="10"/>
      <c r="C6" s="10"/>
      <c r="D6" s="10"/>
      <c r="E6" s="10"/>
      <c r="F6" s="10"/>
      <c r="G6" s="10"/>
    </row>
    <row r="7" spans="1:13" x14ac:dyDescent="0.2">
      <c r="A7" s="61"/>
      <c r="B7" s="61" t="s">
        <v>179</v>
      </c>
    </row>
    <row r="8" spans="1:13" x14ac:dyDescent="0.2">
      <c r="A8" s="61"/>
      <c r="B8" s="61"/>
      <c r="C8" t="s">
        <v>218</v>
      </c>
      <c r="F8" s="407" t="s">
        <v>217</v>
      </c>
    </row>
    <row r="9" spans="1:13" x14ac:dyDescent="0.2">
      <c r="C9" t="s">
        <v>190</v>
      </c>
      <c r="F9" s="375">
        <v>40766</v>
      </c>
    </row>
    <row r="10" spans="1:13" x14ac:dyDescent="0.2">
      <c r="C10" t="s">
        <v>191</v>
      </c>
      <c r="F10" s="375">
        <v>42552</v>
      </c>
    </row>
    <row r="11" spans="1:13" x14ac:dyDescent="0.2">
      <c r="C11" t="s">
        <v>465</v>
      </c>
      <c r="F11">
        <v>399400</v>
      </c>
    </row>
    <row r="12" spans="1:13" x14ac:dyDescent="0.2">
      <c r="A12" s="65"/>
      <c r="B12" s="65"/>
      <c r="C12" s="8" t="s">
        <v>618</v>
      </c>
      <c r="D12" s="65"/>
      <c r="E12" s="65"/>
      <c r="F12" s="65">
        <v>38485</v>
      </c>
      <c r="G12" s="65"/>
      <c r="H12" s="65"/>
      <c r="I12" s="65"/>
    </row>
    <row r="13" spans="1:13" ht="38.25" customHeight="1" x14ac:dyDescent="0.2">
      <c r="A13" s="1888" t="s">
        <v>196</v>
      </c>
      <c r="B13" s="1993"/>
      <c r="C13" s="1993"/>
      <c r="D13" s="1993"/>
      <c r="E13" s="1993"/>
      <c r="F13" s="1993"/>
      <c r="G13" s="1993"/>
      <c r="H13" s="959"/>
    </row>
    <row r="15" spans="1:13" x14ac:dyDescent="0.2">
      <c r="A15" s="61" t="s">
        <v>195</v>
      </c>
      <c r="B15" s="61"/>
      <c r="C15" s="61"/>
      <c r="D15" s="61"/>
      <c r="E15" s="61"/>
      <c r="F15" s="61">
        <f>SUM(I16:I19)</f>
        <v>573962</v>
      </c>
    </row>
    <row r="16" spans="1:13" x14ac:dyDescent="0.2">
      <c r="A16" t="s">
        <v>197</v>
      </c>
      <c r="I16">
        <f>SUM('5. sz.melléklet'!G12-4662)</f>
        <v>543532</v>
      </c>
    </row>
    <row r="17" spans="1:9" x14ac:dyDescent="0.2">
      <c r="A17" t="s">
        <v>201</v>
      </c>
    </row>
    <row r="18" spans="1:9" x14ac:dyDescent="0.2">
      <c r="A18" t="s">
        <v>198</v>
      </c>
    </row>
    <row r="19" spans="1:9" x14ac:dyDescent="0.2">
      <c r="A19" t="s">
        <v>202</v>
      </c>
      <c r="I19">
        <f>SUM('5. sz.melléklet'!C41)</f>
        <v>30430</v>
      </c>
    </row>
    <row r="20" spans="1:9" x14ac:dyDescent="0.2">
      <c r="A20" t="s">
        <v>199</v>
      </c>
    </row>
    <row r="21" spans="1:9" x14ac:dyDescent="0.2">
      <c r="A21" t="s">
        <v>200</v>
      </c>
    </row>
    <row r="23" spans="1:9" x14ac:dyDescent="0.2">
      <c r="A23" s="61" t="s">
        <v>219</v>
      </c>
      <c r="B23" s="61"/>
      <c r="C23" s="61"/>
      <c r="D23" s="61"/>
      <c r="E23" s="61"/>
      <c r="F23" s="61">
        <f>F15/2</f>
        <v>286981</v>
      </c>
    </row>
  </sheetData>
  <mergeCells count="3">
    <mergeCell ref="A1:H1"/>
    <mergeCell ref="A13:G13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8" workbookViewId="0">
      <selection sqref="A1:K32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9" width="9.28515625" customWidth="1"/>
    <col min="10" max="10" width="11.28515625" customWidth="1"/>
    <col min="13" max="13" width="14.85546875" customWidth="1"/>
  </cols>
  <sheetData>
    <row r="1" spans="1:13" ht="58.5" customHeight="1" x14ac:dyDescent="0.2">
      <c r="A1" s="1888" t="s">
        <v>360</v>
      </c>
      <c r="B1" s="1992"/>
      <c r="C1" s="1992"/>
      <c r="D1" s="1992"/>
      <c r="E1" s="1992"/>
      <c r="F1" s="1992"/>
      <c r="G1" s="1992"/>
      <c r="H1" s="1992"/>
      <c r="I1" s="959"/>
      <c r="J1" s="959"/>
      <c r="K1" s="959"/>
      <c r="L1" s="959"/>
      <c r="M1" s="959"/>
    </row>
    <row r="2" spans="1:13" x14ac:dyDescent="0.2">
      <c r="F2" s="12"/>
    </row>
    <row r="4" spans="1:13" x14ac:dyDescent="0.2">
      <c r="A4" s="489" t="s">
        <v>362</v>
      </c>
      <c r="B4" s="484"/>
      <c r="C4" s="484"/>
      <c r="D4" s="484"/>
      <c r="E4" s="484"/>
      <c r="F4" s="484"/>
      <c r="G4" s="392"/>
      <c r="H4" s="4"/>
      <c r="I4" s="4"/>
      <c r="J4" s="4"/>
    </row>
    <row r="5" spans="1:13" x14ac:dyDescent="0.2">
      <c r="A5" s="487"/>
      <c r="B5" s="65"/>
      <c r="C5" s="4"/>
      <c r="D5" s="4"/>
      <c r="E5" s="1706" t="s">
        <v>361</v>
      </c>
      <c r="F5" s="1706" t="s">
        <v>466</v>
      </c>
      <c r="G5" s="1707" t="s">
        <v>528</v>
      </c>
      <c r="H5" s="4"/>
      <c r="I5" s="4"/>
      <c r="J5" s="4"/>
    </row>
    <row r="6" spans="1:13" x14ac:dyDescent="0.2">
      <c r="A6" s="490" t="s">
        <v>363</v>
      </c>
      <c r="B6" s="65"/>
      <c r="C6" s="4"/>
      <c r="D6" s="4"/>
      <c r="E6" s="4">
        <v>0</v>
      </c>
      <c r="F6" s="318">
        <v>0</v>
      </c>
      <c r="G6" s="394">
        <v>0</v>
      </c>
      <c r="H6" s="4"/>
      <c r="I6" s="4"/>
      <c r="J6" s="4"/>
    </row>
    <row r="7" spans="1:13" x14ac:dyDescent="0.2">
      <c r="A7" s="485" t="s">
        <v>364</v>
      </c>
      <c r="B7" s="4"/>
      <c r="C7" s="4"/>
      <c r="D7" s="4"/>
      <c r="E7" s="4">
        <v>0</v>
      </c>
      <c r="F7" s="282">
        <v>0</v>
      </c>
      <c r="G7" s="394">
        <v>0</v>
      </c>
      <c r="H7" s="4"/>
      <c r="I7" s="4"/>
      <c r="J7" s="4"/>
    </row>
    <row r="8" spans="1:13" x14ac:dyDescent="0.2">
      <c r="A8" s="491" t="s">
        <v>365</v>
      </c>
      <c r="B8" s="4"/>
      <c r="C8" s="4"/>
      <c r="D8" s="4"/>
      <c r="E8" s="4">
        <v>0</v>
      </c>
      <c r="F8" s="282">
        <v>0</v>
      </c>
      <c r="G8" s="394">
        <v>0</v>
      </c>
      <c r="H8" s="4"/>
      <c r="I8" s="4"/>
      <c r="J8" s="4"/>
    </row>
    <row r="9" spans="1:13" x14ac:dyDescent="0.2">
      <c r="A9" s="491" t="s">
        <v>369</v>
      </c>
      <c r="B9" s="4"/>
      <c r="C9" s="4"/>
      <c r="D9" s="4"/>
      <c r="E9" s="33">
        <v>0</v>
      </c>
      <c r="F9" s="4">
        <v>0</v>
      </c>
      <c r="G9" s="394">
        <v>0</v>
      </c>
      <c r="H9" s="4"/>
      <c r="I9" s="4"/>
      <c r="J9" s="4"/>
    </row>
    <row r="10" spans="1:13" x14ac:dyDescent="0.2">
      <c r="A10" s="491" t="s">
        <v>366</v>
      </c>
      <c r="B10" s="4"/>
      <c r="C10" s="4"/>
      <c r="D10" s="4"/>
      <c r="E10" s="33">
        <v>0</v>
      </c>
      <c r="F10" s="4">
        <v>0</v>
      </c>
      <c r="G10" s="394">
        <v>0</v>
      </c>
      <c r="H10" s="4"/>
      <c r="I10" s="4"/>
      <c r="J10" s="4"/>
    </row>
    <row r="11" spans="1:13" x14ac:dyDescent="0.2">
      <c r="A11" s="491" t="s">
        <v>368</v>
      </c>
      <c r="B11" s="4"/>
      <c r="C11" s="4"/>
      <c r="D11" s="4"/>
      <c r="E11" s="33">
        <v>0</v>
      </c>
      <c r="F11" s="4">
        <v>0</v>
      </c>
      <c r="G11" s="394">
        <v>0</v>
      </c>
      <c r="H11" s="4"/>
      <c r="I11" s="4"/>
      <c r="J11" s="4"/>
    </row>
    <row r="12" spans="1:13" x14ac:dyDescent="0.2">
      <c r="A12" s="492" t="s">
        <v>367</v>
      </c>
      <c r="B12" s="374"/>
      <c r="C12" s="374"/>
      <c r="D12" s="374"/>
      <c r="E12" s="374"/>
      <c r="F12" s="374"/>
      <c r="G12" s="402"/>
      <c r="H12" s="65"/>
      <c r="I12" s="65"/>
    </row>
    <row r="13" spans="1:13" x14ac:dyDescent="0.2">
      <c r="A13" s="65"/>
      <c r="B13" s="65"/>
      <c r="C13" s="65"/>
      <c r="D13" s="65"/>
      <c r="E13" s="65"/>
      <c r="F13" s="65"/>
      <c r="G13" s="65"/>
      <c r="H13" s="65"/>
      <c r="I13" s="65"/>
    </row>
    <row r="14" spans="1:13" ht="38.25" customHeight="1" x14ac:dyDescent="0.2">
      <c r="A14" s="1995" t="s">
        <v>196</v>
      </c>
      <c r="B14" s="1996"/>
      <c r="C14" s="1996"/>
      <c r="D14" s="1996"/>
      <c r="E14" s="1996"/>
      <c r="F14" s="1996"/>
      <c r="G14" s="1996"/>
      <c r="H14" s="483"/>
      <c r="I14" s="484"/>
      <c r="J14" s="484"/>
      <c r="K14" s="392"/>
    </row>
    <row r="15" spans="1:13" x14ac:dyDescent="0.2">
      <c r="A15" s="485"/>
      <c r="B15" s="4"/>
      <c r="C15" s="4"/>
      <c r="D15" s="4"/>
      <c r="E15" s="4"/>
      <c r="F15" s="4"/>
      <c r="G15" s="4"/>
      <c r="H15" s="4"/>
      <c r="I15" s="1706" t="s">
        <v>361</v>
      </c>
      <c r="J15" s="1706" t="s">
        <v>466</v>
      </c>
      <c r="K15" s="1707" t="s">
        <v>528</v>
      </c>
    </row>
    <row r="16" spans="1:13" x14ac:dyDescent="0.2">
      <c r="A16" s="487" t="s">
        <v>195</v>
      </c>
      <c r="B16" s="65"/>
      <c r="C16" s="65"/>
      <c r="D16" s="65"/>
      <c r="E16" s="65"/>
      <c r="F16" s="65"/>
      <c r="G16" s="4"/>
      <c r="H16" s="4"/>
      <c r="I16" s="4"/>
      <c r="J16" s="4"/>
      <c r="K16" s="394"/>
    </row>
    <row r="17" spans="1:11" x14ac:dyDescent="0.2">
      <c r="A17" s="485" t="s">
        <v>197</v>
      </c>
      <c r="B17" s="4"/>
      <c r="C17" s="4"/>
      <c r="D17" s="4"/>
      <c r="E17" s="4"/>
      <c r="F17" s="4"/>
      <c r="G17" s="4"/>
      <c r="H17" s="4"/>
      <c r="I17" s="4">
        <v>493000</v>
      </c>
      <c r="J17" s="4">
        <v>493000</v>
      </c>
      <c r="K17" s="394">
        <v>493000</v>
      </c>
    </row>
    <row r="18" spans="1:11" x14ac:dyDescent="0.2">
      <c r="A18" s="485" t="s">
        <v>201</v>
      </c>
      <c r="B18" s="4"/>
      <c r="C18" s="4"/>
      <c r="D18" s="4"/>
      <c r="E18" s="4"/>
      <c r="F18" s="4"/>
      <c r="G18" s="4"/>
      <c r="H18" s="4"/>
      <c r="I18" s="4"/>
      <c r="J18" s="4"/>
      <c r="K18" s="394"/>
    </row>
    <row r="19" spans="1:11" x14ac:dyDescent="0.2">
      <c r="A19" s="485" t="s">
        <v>198</v>
      </c>
      <c r="B19" s="4"/>
      <c r="C19" s="4"/>
      <c r="D19" s="4"/>
      <c r="E19" s="4"/>
      <c r="F19" s="4"/>
      <c r="G19" s="4"/>
      <c r="H19" s="4"/>
      <c r="I19" s="4"/>
      <c r="J19" s="4"/>
      <c r="K19" s="394"/>
    </row>
    <row r="20" spans="1:11" x14ac:dyDescent="0.2">
      <c r="A20" s="485" t="s">
        <v>202</v>
      </c>
      <c r="B20" s="4"/>
      <c r="C20" s="4"/>
      <c r="D20" s="4"/>
      <c r="E20" s="4"/>
      <c r="F20" s="4"/>
      <c r="G20" s="4"/>
      <c r="H20" s="4"/>
      <c r="I20" s="4">
        <v>30000</v>
      </c>
      <c r="J20" s="4">
        <v>10000</v>
      </c>
      <c r="K20" s="394">
        <v>10000</v>
      </c>
    </row>
    <row r="21" spans="1:11" x14ac:dyDescent="0.2">
      <c r="A21" s="485" t="s">
        <v>199</v>
      </c>
      <c r="B21" s="4"/>
      <c r="C21" s="4"/>
      <c r="D21" s="4"/>
      <c r="E21" s="4"/>
      <c r="F21" s="4"/>
      <c r="G21" s="4"/>
      <c r="H21" s="4"/>
      <c r="I21" s="4"/>
      <c r="J21" s="4"/>
      <c r="K21" s="394"/>
    </row>
    <row r="22" spans="1:11" x14ac:dyDescent="0.2">
      <c r="A22" s="485" t="s">
        <v>200</v>
      </c>
      <c r="B22" s="4"/>
      <c r="C22" s="4"/>
      <c r="D22" s="4"/>
      <c r="E22" s="4"/>
      <c r="F22" s="4"/>
      <c r="G22" s="4"/>
      <c r="H22" s="4"/>
      <c r="I22" s="4"/>
      <c r="J22" s="4"/>
      <c r="K22" s="394"/>
    </row>
    <row r="23" spans="1:11" x14ac:dyDescent="0.2">
      <c r="A23" s="485"/>
      <c r="B23" s="4"/>
      <c r="C23" s="4"/>
      <c r="D23" s="4"/>
      <c r="E23" s="4"/>
      <c r="F23" s="4"/>
      <c r="G23" s="4"/>
      <c r="H23" s="4"/>
      <c r="I23" s="4"/>
      <c r="J23" s="4"/>
      <c r="K23" s="394"/>
    </row>
    <row r="24" spans="1:11" x14ac:dyDescent="0.2">
      <c r="A24" s="487" t="s">
        <v>219</v>
      </c>
      <c r="B24" s="65"/>
      <c r="C24" s="65"/>
      <c r="D24" s="65"/>
      <c r="E24" s="65"/>
      <c r="F24" s="65"/>
      <c r="G24" s="4"/>
      <c r="H24" s="4"/>
      <c r="I24" s="65">
        <f>SUM(I17:I22)/2</f>
        <v>261500</v>
      </c>
      <c r="J24" s="65">
        <f>SUM(J17:J22)/2</f>
        <v>251500</v>
      </c>
      <c r="K24" s="486">
        <f>SUM(K17:K22)/2</f>
        <v>251500</v>
      </c>
    </row>
    <row r="25" spans="1:11" x14ac:dyDescent="0.2">
      <c r="A25" s="488"/>
      <c r="B25" s="10"/>
      <c r="C25" s="10"/>
      <c r="D25" s="10"/>
      <c r="E25" s="10"/>
      <c r="F25" s="10"/>
      <c r="G25" s="10"/>
      <c r="H25" s="10"/>
      <c r="I25" s="10"/>
      <c r="J25" s="10"/>
      <c r="K25" s="393"/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H32"/>
  <sheetViews>
    <sheetView topLeftCell="A26" workbookViewId="0">
      <selection activeCell="A2" sqref="A2:G32"/>
    </sheetView>
  </sheetViews>
  <sheetFormatPr defaultRowHeight="12.75" x14ac:dyDescent="0.2"/>
  <cols>
    <col min="1" max="1" width="34.85546875" style="61" customWidth="1"/>
    <col min="2" max="2" width="8" customWidth="1"/>
    <col min="3" max="3" width="10.85546875" customWidth="1"/>
    <col min="4" max="4" width="8.28515625" customWidth="1"/>
    <col min="6" max="6" width="16.140625" customWidth="1"/>
    <col min="7" max="7" width="9" customWidth="1"/>
  </cols>
  <sheetData>
    <row r="1" spans="1:8" x14ac:dyDescent="0.2">
      <c r="A1" s="65"/>
      <c r="B1" s="4"/>
      <c r="C1" s="4"/>
      <c r="D1" s="4"/>
      <c r="E1" s="4"/>
      <c r="F1" s="4"/>
      <c r="G1" s="4"/>
    </row>
    <row r="2" spans="1:8" s="13" customFormat="1" ht="33" customHeight="1" x14ac:dyDescent="0.25">
      <c r="A2" s="1999" t="s">
        <v>529</v>
      </c>
      <c r="B2" s="2000"/>
      <c r="C2" s="2000"/>
      <c r="D2" s="2000"/>
      <c r="E2" s="2000"/>
      <c r="F2" s="2000"/>
      <c r="G2" s="2000"/>
      <c r="H2" s="30"/>
    </row>
    <row r="3" spans="1:8" ht="0.75" customHeight="1" x14ac:dyDescent="0.25">
      <c r="A3" s="38" t="s">
        <v>158</v>
      </c>
      <c r="B3" s="38"/>
      <c r="C3" s="38"/>
      <c r="D3" s="38"/>
      <c r="E3" s="38"/>
      <c r="F3" s="38"/>
      <c r="G3" s="38"/>
      <c r="H3" s="4"/>
    </row>
    <row r="4" spans="1:8" s="61" customFormat="1" ht="0.75" customHeight="1" x14ac:dyDescent="0.2">
      <c r="A4"/>
      <c r="B4"/>
      <c r="C4"/>
      <c r="D4"/>
      <c r="E4"/>
      <c r="F4"/>
      <c r="G4"/>
    </row>
    <row r="5" spans="1:8" ht="0.75" customHeight="1" thickBot="1" x14ac:dyDescent="0.25">
      <c r="A5"/>
      <c r="B5" s="61"/>
      <c r="C5" s="61"/>
      <c r="G5" s="61"/>
    </row>
    <row r="6" spans="1:8" ht="15" hidden="1" customHeight="1" thickBot="1" x14ac:dyDescent="0.25">
      <c r="A6"/>
      <c r="B6" s="61"/>
      <c r="C6" s="61"/>
      <c r="G6" s="61"/>
    </row>
    <row r="7" spans="1:8" ht="27.75" customHeight="1" thickBot="1" x14ac:dyDescent="0.25">
      <c r="A7" s="390"/>
      <c r="B7" s="969" t="s">
        <v>22</v>
      </c>
      <c r="C7" s="969" t="s">
        <v>62</v>
      </c>
      <c r="D7" s="1997" t="s">
        <v>63</v>
      </c>
      <c r="E7" s="1998"/>
      <c r="F7" s="970" t="s">
        <v>120</v>
      </c>
      <c r="G7" s="619" t="s">
        <v>121</v>
      </c>
    </row>
    <row r="8" spans="1:8" ht="15" customHeight="1" thickBot="1" x14ac:dyDescent="0.25">
      <c r="A8" s="155"/>
      <c r="B8" s="406"/>
      <c r="C8" s="153" t="s">
        <v>24</v>
      </c>
      <c r="D8" s="960" t="s">
        <v>24</v>
      </c>
      <c r="E8" s="960" t="s">
        <v>25</v>
      </c>
      <c r="F8" s="154" t="s">
        <v>24</v>
      </c>
      <c r="G8" s="149"/>
    </row>
    <row r="9" spans="1:8" ht="6" customHeight="1" x14ac:dyDescent="0.2">
      <c r="A9" s="79"/>
      <c r="B9" s="374"/>
      <c r="C9" s="374"/>
      <c r="D9" s="144"/>
      <c r="E9" s="144"/>
      <c r="F9" s="145"/>
      <c r="G9" s="971"/>
    </row>
    <row r="10" spans="1:8" ht="15" customHeight="1" x14ac:dyDescent="0.2">
      <c r="A10" s="146" t="s">
        <v>118</v>
      </c>
      <c r="B10" s="972">
        <f>SUM(B11:B14)</f>
        <v>8</v>
      </c>
      <c r="C10" s="503"/>
      <c r="D10" s="147"/>
      <c r="E10" s="147"/>
      <c r="F10" s="151"/>
      <c r="G10" s="971"/>
    </row>
    <row r="11" spans="1:8" ht="15" customHeight="1" x14ac:dyDescent="0.2">
      <c r="A11" s="79" t="s">
        <v>144</v>
      </c>
      <c r="B11" s="973">
        <f>SUM(C11:F11)</f>
        <v>2</v>
      </c>
      <c r="C11" s="973"/>
      <c r="D11" s="148">
        <v>2</v>
      </c>
      <c r="E11" s="148"/>
      <c r="F11" s="151"/>
      <c r="G11" s="974"/>
    </row>
    <row r="12" spans="1:8" ht="15" customHeight="1" x14ac:dyDescent="0.2">
      <c r="A12" s="79" t="s">
        <v>69</v>
      </c>
      <c r="B12" s="973">
        <v>4</v>
      </c>
      <c r="C12" s="973"/>
      <c r="D12" s="148">
        <v>4</v>
      </c>
      <c r="E12" s="148"/>
      <c r="F12" s="151"/>
      <c r="G12" s="974"/>
    </row>
    <row r="13" spans="1:8" ht="15" customHeight="1" x14ac:dyDescent="0.2">
      <c r="A13" s="14" t="s">
        <v>619</v>
      </c>
      <c r="B13" s="14">
        <v>1</v>
      </c>
      <c r="C13" s="15"/>
      <c r="D13" s="147"/>
      <c r="E13" s="147"/>
      <c r="F13" s="1869">
        <v>1</v>
      </c>
      <c r="G13" s="977"/>
    </row>
    <row r="14" spans="1:8" ht="15" customHeight="1" x14ac:dyDescent="0.2">
      <c r="A14" s="14" t="s">
        <v>620</v>
      </c>
      <c r="B14" s="14">
        <v>1</v>
      </c>
      <c r="C14" s="15"/>
      <c r="D14" s="147"/>
      <c r="E14" s="147"/>
      <c r="F14" s="1869">
        <v>1</v>
      </c>
      <c r="G14" s="978"/>
    </row>
    <row r="15" spans="1:8" ht="15" customHeight="1" x14ac:dyDescent="0.2">
      <c r="A15" s="15"/>
      <c r="B15" s="503"/>
      <c r="C15" s="503"/>
      <c r="D15" s="147"/>
      <c r="E15" s="147"/>
      <c r="F15" s="1870"/>
      <c r="G15" s="978"/>
    </row>
    <row r="16" spans="1:8" ht="15" customHeight="1" x14ac:dyDescent="0.25">
      <c r="A16" s="83" t="s">
        <v>31</v>
      </c>
      <c r="B16" s="975">
        <f>SUM(B17:B19)</f>
        <v>19</v>
      </c>
      <c r="C16" s="973"/>
      <c r="D16" s="16"/>
      <c r="E16" s="15"/>
      <c r="F16" s="73"/>
      <c r="G16" s="974"/>
    </row>
    <row r="17" spans="1:7" ht="15" customHeight="1" x14ac:dyDescent="0.2">
      <c r="A17" s="62" t="s">
        <v>60</v>
      </c>
      <c r="B17" s="973">
        <v>16</v>
      </c>
      <c r="C17" s="973"/>
      <c r="D17" s="16"/>
      <c r="E17" s="16"/>
      <c r="F17" s="73">
        <v>16</v>
      </c>
      <c r="G17" s="974"/>
    </row>
    <row r="18" spans="1:7" ht="15" customHeight="1" x14ac:dyDescent="0.2">
      <c r="A18" s="62" t="s">
        <v>64</v>
      </c>
      <c r="B18" s="973">
        <f>SUM(C18:F18)</f>
        <v>1</v>
      </c>
      <c r="C18" s="973"/>
      <c r="D18" s="16"/>
      <c r="E18" s="16"/>
      <c r="F18" s="73">
        <v>1</v>
      </c>
      <c r="G18" s="974"/>
    </row>
    <row r="19" spans="1:7" ht="12" customHeight="1" x14ac:dyDescent="0.2">
      <c r="A19" s="15" t="s">
        <v>336</v>
      </c>
      <c r="B19" s="503">
        <v>2</v>
      </c>
      <c r="C19" s="503">
        <v>2</v>
      </c>
      <c r="D19" s="10"/>
      <c r="E19" s="10"/>
      <c r="F19" s="80"/>
      <c r="G19" s="974"/>
    </row>
    <row r="20" spans="1:7" ht="3" customHeight="1" x14ac:dyDescent="0.2">
      <c r="A20" s="79" t="s">
        <v>61</v>
      </c>
      <c r="B20" s="374"/>
      <c r="C20" s="374"/>
      <c r="D20" s="10"/>
      <c r="E20" s="10"/>
      <c r="F20" s="80"/>
      <c r="G20" s="974"/>
    </row>
    <row r="21" spans="1:7" ht="6" customHeight="1" x14ac:dyDescent="0.2">
      <c r="A21" s="75"/>
      <c r="B21" s="976"/>
      <c r="C21" s="976"/>
      <c r="D21" s="11"/>
      <c r="E21" s="11"/>
      <c r="F21" s="80"/>
      <c r="G21" s="977"/>
    </row>
    <row r="22" spans="1:7" ht="15" customHeight="1" x14ac:dyDescent="0.25">
      <c r="A22" s="83" t="s">
        <v>57</v>
      </c>
      <c r="B22" s="975">
        <v>24</v>
      </c>
      <c r="C22" s="973"/>
      <c r="D22" s="16"/>
      <c r="E22" s="15"/>
      <c r="F22" s="73"/>
      <c r="G22" s="978"/>
    </row>
    <row r="23" spans="1:7" ht="15" customHeight="1" x14ac:dyDescent="0.2">
      <c r="A23" s="58" t="s">
        <v>65</v>
      </c>
      <c r="B23" s="503">
        <v>24</v>
      </c>
      <c r="C23" s="503"/>
      <c r="D23" s="15">
        <v>24</v>
      </c>
      <c r="E23" s="15"/>
      <c r="F23" s="73"/>
      <c r="G23" s="971"/>
    </row>
    <row r="24" spans="1:7" ht="6" customHeight="1" x14ac:dyDescent="0.2">
      <c r="A24" s="75"/>
      <c r="B24" s="976"/>
      <c r="C24" s="976"/>
      <c r="D24" s="11"/>
      <c r="E24" s="11"/>
      <c r="F24" s="80"/>
      <c r="G24" s="971"/>
    </row>
    <row r="25" spans="1:7" ht="31.5" x14ac:dyDescent="0.25">
      <c r="A25" s="84" t="s">
        <v>177</v>
      </c>
      <c r="B25" s="975">
        <f>SUM(B26:B27)</f>
        <v>8</v>
      </c>
      <c r="C25" s="973"/>
      <c r="D25" s="16"/>
      <c r="E25" s="15"/>
      <c r="F25" s="72"/>
      <c r="G25" s="974"/>
    </row>
    <row r="26" spans="1:7" x14ac:dyDescent="0.2">
      <c r="A26" s="63" t="s">
        <v>66</v>
      </c>
      <c r="B26" s="973">
        <v>5</v>
      </c>
      <c r="C26" s="973"/>
      <c r="D26" s="16">
        <v>5</v>
      </c>
      <c r="E26" s="15"/>
      <c r="F26" s="73"/>
      <c r="G26" s="974"/>
    </row>
    <row r="27" spans="1:7" x14ac:dyDescent="0.2">
      <c r="A27" s="76" t="s">
        <v>67</v>
      </c>
      <c r="B27" s="503">
        <v>3</v>
      </c>
      <c r="C27" s="77"/>
      <c r="D27" s="15">
        <v>2</v>
      </c>
      <c r="E27" s="15">
        <v>1</v>
      </c>
      <c r="F27" s="73"/>
      <c r="G27" s="150"/>
    </row>
    <row r="28" spans="1:7" ht="6" customHeight="1" x14ac:dyDescent="0.2">
      <c r="A28" s="81"/>
      <c r="B28" s="976"/>
      <c r="C28" s="78"/>
      <c r="D28" s="11"/>
      <c r="E28" s="11"/>
      <c r="F28" s="80"/>
      <c r="G28" s="150"/>
    </row>
    <row r="29" spans="1:7" ht="31.5" x14ac:dyDescent="0.25">
      <c r="A29" s="84" t="s">
        <v>119</v>
      </c>
      <c r="B29" s="975">
        <f>SUM(B30:B30)</f>
        <v>19</v>
      </c>
      <c r="C29" s="973"/>
      <c r="D29" s="16"/>
      <c r="E29" s="15"/>
      <c r="F29" s="72"/>
      <c r="G29" s="974">
        <v>9</v>
      </c>
    </row>
    <row r="30" spans="1:7" x14ac:dyDescent="0.2">
      <c r="A30" s="63" t="s">
        <v>68</v>
      </c>
      <c r="B30" s="973">
        <f>13+6</f>
        <v>19</v>
      </c>
      <c r="C30" s="973"/>
      <c r="D30" s="16">
        <v>19</v>
      </c>
      <c r="E30" s="16"/>
      <c r="F30" s="73"/>
      <c r="G30" s="1761"/>
    </row>
    <row r="31" spans="1:7" ht="6" customHeight="1" thickBot="1" x14ac:dyDescent="0.25">
      <c r="A31" s="82"/>
      <c r="B31" s="979"/>
      <c r="C31" s="979"/>
      <c r="D31" s="74"/>
      <c r="E31" s="74"/>
      <c r="F31" s="152"/>
      <c r="G31" s="980"/>
    </row>
    <row r="32" spans="1:7" ht="15" customHeight="1" thickBot="1" x14ac:dyDescent="0.25">
      <c r="A32" s="981" t="s">
        <v>8</v>
      </c>
      <c r="B32" s="982">
        <f>B16+B22+B25+B29+B10</f>
        <v>78</v>
      </c>
      <c r="C32" s="982">
        <f>SUM(C11:C31)</f>
        <v>2</v>
      </c>
      <c r="D32" s="982">
        <f>SUM(D10:D31)</f>
        <v>56</v>
      </c>
      <c r="E32" s="982">
        <f>SUM(E11:E30)</f>
        <v>1</v>
      </c>
      <c r="F32" s="398">
        <f>F17+F18+F14+F13</f>
        <v>19</v>
      </c>
      <c r="G32" s="398">
        <f>SUM(G10:G31)</f>
        <v>9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topLeftCell="A11" zoomScaleNormal="100" workbookViewId="0">
      <selection sqref="A1:S31"/>
    </sheetView>
  </sheetViews>
  <sheetFormatPr defaultRowHeight="12.75" x14ac:dyDescent="0.2"/>
  <cols>
    <col min="1" max="1" width="28" customWidth="1"/>
    <col min="2" max="2" width="15.7109375" customWidth="1"/>
    <col min="3" max="4" width="0.28515625" customWidth="1"/>
    <col min="5" max="5" width="15.7109375" customWidth="1"/>
    <col min="6" max="7" width="0.28515625" customWidth="1"/>
    <col min="8" max="8" width="17.42578125" customWidth="1"/>
    <col min="9" max="10" width="0.28515625" customWidth="1"/>
    <col min="11" max="11" width="15.7109375" customWidth="1"/>
    <col min="12" max="13" width="0.28515625" customWidth="1"/>
    <col min="14" max="14" width="15.7109375" customWidth="1"/>
    <col min="15" max="16" width="0.28515625" customWidth="1"/>
    <col min="17" max="17" width="15.7109375" style="61" customWidth="1"/>
    <col min="18" max="18" width="0.28515625" style="61" customWidth="1"/>
    <col min="19" max="20" width="0.28515625" customWidth="1"/>
    <col min="22" max="22" width="9.140625" customWidth="1"/>
  </cols>
  <sheetData>
    <row r="1" spans="1:20" ht="24" customHeight="1" x14ac:dyDescent="0.2">
      <c r="A1" s="1887" t="s">
        <v>514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542"/>
      <c r="P1" s="542"/>
    </row>
    <row r="2" spans="1:20" ht="5.25" customHeight="1" thickBot="1" x14ac:dyDescent="0.25"/>
    <row r="3" spans="1:20" ht="54" customHeight="1" x14ac:dyDescent="0.25">
      <c r="A3" s="167" t="s">
        <v>122</v>
      </c>
      <c r="B3" s="1889" t="s">
        <v>123</v>
      </c>
      <c r="C3" s="1890"/>
      <c r="D3" s="1891"/>
      <c r="E3" s="1892" t="s">
        <v>125</v>
      </c>
      <c r="F3" s="1893"/>
      <c r="G3" s="1894"/>
      <c r="H3" s="1892" t="s">
        <v>126</v>
      </c>
      <c r="I3" s="1893"/>
      <c r="J3" s="1894"/>
      <c r="K3" s="1892" t="s">
        <v>193</v>
      </c>
      <c r="L3" s="1895"/>
      <c r="M3" s="1896"/>
      <c r="N3" s="1889" t="s">
        <v>124</v>
      </c>
      <c r="O3" s="1897"/>
      <c r="P3" s="1898"/>
      <c r="Q3" s="1872" t="s">
        <v>381</v>
      </c>
      <c r="R3" s="1873"/>
      <c r="S3" s="1874"/>
      <c r="T3" s="623"/>
    </row>
    <row r="4" spans="1:20" ht="32.25" customHeight="1" x14ac:dyDescent="0.25">
      <c r="A4" s="167"/>
      <c r="B4" s="156" t="s">
        <v>389</v>
      </c>
      <c r="C4" s="156" t="s">
        <v>390</v>
      </c>
      <c r="D4" s="1151" t="s">
        <v>391</v>
      </c>
      <c r="E4" s="156" t="s">
        <v>389</v>
      </c>
      <c r="F4" s="156" t="s">
        <v>390</v>
      </c>
      <c r="G4" s="1151" t="s">
        <v>391</v>
      </c>
      <c r="H4" s="156" t="s">
        <v>389</v>
      </c>
      <c r="I4" s="156" t="s">
        <v>390</v>
      </c>
      <c r="J4" s="1151" t="s">
        <v>391</v>
      </c>
      <c r="K4" s="156" t="s">
        <v>389</v>
      </c>
      <c r="L4" s="156" t="s">
        <v>390</v>
      </c>
      <c r="M4" s="1151" t="s">
        <v>391</v>
      </c>
      <c r="N4" s="156" t="s">
        <v>389</v>
      </c>
      <c r="O4" s="156" t="s">
        <v>390</v>
      </c>
      <c r="P4" s="1151" t="s">
        <v>391</v>
      </c>
      <c r="Q4" s="156" t="s">
        <v>389</v>
      </c>
      <c r="R4" s="156" t="s">
        <v>390</v>
      </c>
      <c r="S4" s="1152"/>
      <c r="T4" s="1153"/>
    </row>
    <row r="5" spans="1:20" ht="12" customHeight="1" x14ac:dyDescent="0.2">
      <c r="A5" s="77" t="s">
        <v>192</v>
      </c>
      <c r="B5" s="461">
        <f>SUM('5. sz.melléklet'!C7)</f>
        <v>548194</v>
      </c>
      <c r="C5" s="461">
        <f>SUM('5.a.sz. melléklet'!D126)</f>
        <v>0</v>
      </c>
      <c r="D5" s="461">
        <f>SUM('5.a.sz. melléklet'!D127)</f>
        <v>0</v>
      </c>
      <c r="E5" s="1048">
        <f>SUM('13.sz.melléklet'!C38)</f>
        <v>100</v>
      </c>
      <c r="F5" s="1048">
        <f>SUM('13.sz.melléklet'!C39)</f>
        <v>100</v>
      </c>
      <c r="G5" s="1048">
        <f>SUM('13.sz.melléklet'!C40)</f>
        <v>0</v>
      </c>
      <c r="H5" s="386"/>
      <c r="I5" s="386"/>
      <c r="J5" s="386"/>
      <c r="K5" s="386"/>
      <c r="L5" s="549"/>
      <c r="M5" s="549"/>
      <c r="N5" s="496"/>
      <c r="O5" s="496"/>
      <c r="P5" s="496"/>
      <c r="Q5" s="503">
        <f>SUM(B5+E5+H5+K5+N5)</f>
        <v>548294</v>
      </c>
      <c r="R5" s="503">
        <f>SUM(C5,F5,I5,L5,O5)</f>
        <v>100</v>
      </c>
      <c r="S5" s="1282">
        <f>SUM(D5+G5+J5+M5+P5)</f>
        <v>0</v>
      </c>
      <c r="T5" s="1286">
        <f>SUM(S5/R5)</f>
        <v>0</v>
      </c>
    </row>
    <row r="6" spans="1:20" x14ac:dyDescent="0.2">
      <c r="A6" s="15" t="s">
        <v>329</v>
      </c>
      <c r="B6" s="164">
        <f>SUM('5. sz.melléklet'!C5)</f>
        <v>60363</v>
      </c>
      <c r="C6" s="164">
        <f>SUM('5.a.sz. melléklet'!C126)</f>
        <v>0</v>
      </c>
      <c r="D6" s="164">
        <f>SUM('5.a.sz. melléklet'!C127)</f>
        <v>0</v>
      </c>
      <c r="E6" s="164">
        <f>SUM('13.sz.melléklet'!D38)</f>
        <v>14554</v>
      </c>
      <c r="F6" s="164">
        <f>SUM('13.sz.melléklet'!D39)</f>
        <v>14582</v>
      </c>
      <c r="G6" s="164">
        <f>SUM('13.sz.melléklet'!D40)</f>
        <v>8790</v>
      </c>
      <c r="H6" s="164">
        <f>SUM('14.sz.melléklet'!C46)</f>
        <v>14389</v>
      </c>
      <c r="I6" s="164">
        <f>SUM('14.sz.melléklet'!C47)</f>
        <v>15310</v>
      </c>
      <c r="J6" s="164">
        <f>SUM('14.sz.melléklet'!C48)</f>
        <v>9243</v>
      </c>
      <c r="K6" s="164">
        <f>SUM('15.sz.melléklet'!C34)</f>
        <v>6705</v>
      </c>
      <c r="L6" s="497">
        <f>SUM('15.sz.melléklet'!C35)</f>
        <v>6705</v>
      </c>
      <c r="M6" s="497">
        <f>SUM('15.sz.melléklet'!C36)</f>
        <v>3922</v>
      </c>
      <c r="N6" s="497">
        <f>SUM('16.sz. melléklet'!C42)</f>
        <v>300</v>
      </c>
      <c r="O6" s="497">
        <f>SUM('16.sz. melléklet'!C43)</f>
        <v>300</v>
      </c>
      <c r="P6" s="497">
        <f>SUM('16.sz. melléklet'!C44)</f>
        <v>523</v>
      </c>
      <c r="Q6" s="504">
        <f>SUM(B6+E6+H6+K6+N6)</f>
        <v>96311</v>
      </c>
      <c r="R6" s="504">
        <f>SUM(C6,F6,I6,L6,O6)</f>
        <v>36897</v>
      </c>
      <c r="S6" s="1282">
        <f t="shared" ref="S6:S13" si="0">SUM(D6+G6+J6+M6+P6)</f>
        <v>22478</v>
      </c>
      <c r="T6" s="1286">
        <f t="shared" ref="T6:T15" si="1">SUM(S6/R6)</f>
        <v>0.60920942082012086</v>
      </c>
    </row>
    <row r="7" spans="1:20" x14ac:dyDescent="0.2">
      <c r="A7" s="15" t="s">
        <v>330</v>
      </c>
      <c r="B7" s="164">
        <f>SUM('5. sz.melléklet'!C15+'5. sz.melléklet'!C16+'5. sz.melléklet'!C17+'5. sz.melléklet'!C18+'5. sz.melléklet'!C19+'5. sz.melléklet'!C20+'5. sz.melléklet'!C24+'5. sz.melléklet'!C25+'5. sz.melléklet'!C26+'5. sz.melléklet'!C28+'5. sz.melléklet'!C29)</f>
        <v>132484</v>
      </c>
      <c r="C7" s="164">
        <f>'5. sz.melléklet'!D15+'5. sz.melléklet'!D16+'5. sz.melléklet'!D17+'5. sz.melléklet'!D18+'5. sz.melléklet'!D19+'5. sz.melléklet'!D20+'5. sz.melléklet'!D24+'5. sz.melléklet'!D25+'5. sz.melléklet'!D26+'5. sz.melléklet'!D28+'5. sz.melléklet'!D37+'5. sz.melléklet'!D29+'5. sz.melléklet'!D32</f>
        <v>143197</v>
      </c>
      <c r="D7" s="164">
        <f>SUM('5. sz.melléklet'!E15+'5. sz.melléklet'!E16+'5. sz.melléklet'!E17+'5. sz.melléklet'!E18+'5. sz.melléklet'!E19+'5. sz.melléklet'!E20+'5. sz.melléklet'!E24+'5. sz.melléklet'!E25+'5. sz.melléklet'!E26+'5. sz.melléklet'!E29+'5. sz.melléklet'!E32+'5. sz.melléklet'!E30+'5. sz.melléklet'!E37)</f>
        <v>106042</v>
      </c>
      <c r="E7" s="15"/>
      <c r="F7" s="15"/>
      <c r="G7" s="15"/>
      <c r="H7" s="15"/>
      <c r="I7" s="15"/>
      <c r="J7" s="15"/>
      <c r="K7" s="15"/>
      <c r="L7" s="498"/>
      <c r="M7" s="498"/>
      <c r="N7" s="498"/>
      <c r="O7" s="498"/>
      <c r="P7" s="498"/>
      <c r="Q7" s="504">
        <f t="shared" ref="Q7:Q12" si="2">SUM(B7,E7,H7,K7,N7)</f>
        <v>132484</v>
      </c>
      <c r="R7" s="504">
        <f>SUM(C7,F7,I7,L7,O7)</f>
        <v>143197</v>
      </c>
      <c r="S7" s="1282">
        <f t="shared" si="0"/>
        <v>106042</v>
      </c>
      <c r="T7" s="1286">
        <f t="shared" si="1"/>
        <v>0.7405322737208182</v>
      </c>
    </row>
    <row r="8" spans="1:20" x14ac:dyDescent="0.2">
      <c r="A8" s="15" t="s">
        <v>331</v>
      </c>
      <c r="B8" s="164">
        <f>SUM('5. sz.melléklet'!C21+'5. sz.melléklet'!C36)</f>
        <v>0</v>
      </c>
      <c r="C8" s="164">
        <f>'5. sz.melléklet'!D21+'5. sz.melléklet'!D36</f>
        <v>12918</v>
      </c>
      <c r="D8" s="164">
        <f>SUM('5. sz.melléklet'!E36)</f>
        <v>10557</v>
      </c>
      <c r="E8" s="164"/>
      <c r="F8" s="164"/>
      <c r="G8" s="164"/>
      <c r="H8" s="164"/>
      <c r="I8" s="164"/>
      <c r="J8" s="164"/>
      <c r="K8" s="164"/>
      <c r="L8" s="497"/>
      <c r="M8" s="497"/>
      <c r="N8" s="497"/>
      <c r="O8" s="497"/>
      <c r="P8" s="497"/>
      <c r="Q8" s="504">
        <f t="shared" si="2"/>
        <v>0</v>
      </c>
      <c r="R8" s="504">
        <f>SUM(C8,F8,I8,L8,O8)</f>
        <v>12918</v>
      </c>
      <c r="S8" s="1282">
        <f t="shared" si="0"/>
        <v>10557</v>
      </c>
      <c r="T8" s="1286">
        <f t="shared" si="1"/>
        <v>0.81723176962378075</v>
      </c>
    </row>
    <row r="9" spans="1:20" x14ac:dyDescent="0.2">
      <c r="A9" s="15" t="s">
        <v>105</v>
      </c>
      <c r="B9" s="164">
        <f>SUM('5. sz.melléklet'!C41)</f>
        <v>30430</v>
      </c>
      <c r="C9" s="164" t="e">
        <f>'5. sz.melléklet'!D42+'5. sz.melléklet'!D43+'5. sz.melléklet'!D44+'5. sz.melléklet'!#REF!+'5. sz.melléklet'!#REF!+'5. sz.melléklet'!#REF!+'5. sz.melléklet'!#REF!</f>
        <v>#REF!</v>
      </c>
      <c r="D9" s="164" t="e">
        <f>SUM('5. sz.melléklet'!#REF!)</f>
        <v>#REF!</v>
      </c>
      <c r="E9" s="164"/>
      <c r="F9" s="164"/>
      <c r="G9" s="164"/>
      <c r="H9" s="164"/>
      <c r="I9" s="164"/>
      <c r="J9" s="164"/>
      <c r="K9" s="164"/>
      <c r="L9" s="497"/>
      <c r="M9" s="497"/>
      <c r="N9" s="497"/>
      <c r="O9" s="497"/>
      <c r="P9" s="497"/>
      <c r="Q9" s="504">
        <f t="shared" si="2"/>
        <v>30430</v>
      </c>
      <c r="R9" s="504" t="e">
        <f>SUM(C9,F9,I9,L9,O9)</f>
        <v>#REF!</v>
      </c>
      <c r="S9" s="1282" t="e">
        <f t="shared" si="0"/>
        <v>#REF!</v>
      </c>
      <c r="T9" s="1286" t="e">
        <f t="shared" si="1"/>
        <v>#REF!</v>
      </c>
    </row>
    <row r="10" spans="1:20" ht="25.5" x14ac:dyDescent="0.2">
      <c r="A10" s="915" t="s">
        <v>332</v>
      </c>
      <c r="B10" s="164"/>
      <c r="C10" s="164"/>
      <c r="D10" s="164">
        <f>SUM('5. sz.melléklet'!E28)</f>
        <v>81</v>
      </c>
      <c r="E10" s="164">
        <f>SUM('13.sz.melléklet'!F38)</f>
        <v>0</v>
      </c>
      <c r="F10" s="164"/>
      <c r="G10" s="164">
        <f>SUM('13.sz.melléklet'!F40)</f>
        <v>519</v>
      </c>
      <c r="H10" s="164">
        <f>SUM('14.sz.melléklet'!D46)</f>
        <v>0</v>
      </c>
      <c r="I10" s="164"/>
      <c r="J10" s="164">
        <f>SUM('14.sz.melléklet'!D48)</f>
        <v>40</v>
      </c>
      <c r="K10" s="164">
        <f>SUM('15.sz.melléklet'!E34)</f>
        <v>0</v>
      </c>
      <c r="L10" s="497"/>
      <c r="M10" s="497">
        <f>SUM('15.sz.melléklet'!E36)</f>
        <v>1617</v>
      </c>
      <c r="N10" s="497">
        <f>SUM('16.sz. melléklet'!E42)</f>
        <v>0</v>
      </c>
      <c r="O10" s="497"/>
      <c r="P10" s="497"/>
      <c r="Q10" s="504">
        <f t="shared" si="2"/>
        <v>0</v>
      </c>
      <c r="R10" s="504">
        <f>SUM(I10)</f>
        <v>0</v>
      </c>
      <c r="S10" s="1282">
        <f t="shared" si="0"/>
        <v>2257</v>
      </c>
      <c r="T10" s="1286"/>
    </row>
    <row r="11" spans="1:20" x14ac:dyDescent="0.2">
      <c r="A11" s="15" t="s">
        <v>235</v>
      </c>
      <c r="B11" s="164">
        <f>SUM('5. sz.melléklet'!C27+'5. sz.melléklet'!C30)</f>
        <v>240017</v>
      </c>
      <c r="C11" s="164" t="e">
        <f>'5. sz.melléklet'!#REF!+'5. sz.melléklet'!C27</f>
        <v>#REF!</v>
      </c>
      <c r="D11" s="164" t="e">
        <f>SUM('5. sz.melléklet'!#REF!+'5. sz.melléklet'!E31)</f>
        <v>#REF!</v>
      </c>
      <c r="E11" s="164"/>
      <c r="F11" s="164"/>
      <c r="G11" s="164"/>
      <c r="H11" s="164"/>
      <c r="I11" s="164"/>
      <c r="J11" s="164"/>
      <c r="K11" s="164"/>
      <c r="L11" s="497"/>
      <c r="M11" s="497"/>
      <c r="N11" s="497"/>
      <c r="O11" s="497"/>
      <c r="P11" s="497"/>
      <c r="Q11" s="504">
        <f t="shared" si="2"/>
        <v>240017</v>
      </c>
      <c r="R11" s="504" t="e">
        <f>SUM(C11,F11,I11,L11,O11)</f>
        <v>#REF!</v>
      </c>
      <c r="S11" s="1282" t="e">
        <f t="shared" si="0"/>
        <v>#REF!</v>
      </c>
      <c r="T11" s="1286" t="e">
        <f t="shared" si="1"/>
        <v>#REF!</v>
      </c>
    </row>
    <row r="12" spans="1:20" ht="13.5" thickBot="1" x14ac:dyDescent="0.25">
      <c r="A12" s="157" t="s">
        <v>333</v>
      </c>
      <c r="B12" s="165">
        <f>SUM('5. sz.melléklet'!C45)</f>
        <v>450000</v>
      </c>
      <c r="C12" s="165">
        <f>SUM('5. sz.melléklet'!D46+'5. sz.melléklet'!D47+'5. sz.melléklet'!D48)</f>
        <v>460534</v>
      </c>
      <c r="D12" s="165">
        <f>SUM('5. sz.melléklet'!E46+'5. sz.melléklet'!E47+'5. sz.melléklet'!E48)</f>
        <v>0</v>
      </c>
      <c r="E12" s="164">
        <f>SUM('13.sz.melléklet'!E38)</f>
        <v>117569</v>
      </c>
      <c r="F12" s="164">
        <f>'13.sz.melléklet'!E35</f>
        <v>138889</v>
      </c>
      <c r="G12" s="164">
        <f>SUM('13.sz.melléklet'!E40)</f>
        <v>95289</v>
      </c>
      <c r="H12" s="164">
        <f>SUM('14.sz.melléklet'!E46)</f>
        <v>130945</v>
      </c>
      <c r="I12" s="164">
        <f>'14.sz.melléklet'!E31</f>
        <v>124681</v>
      </c>
      <c r="J12" s="164">
        <f>SUM('14.sz.melléklet'!E48)</f>
        <v>88212</v>
      </c>
      <c r="K12" s="164">
        <f>SUM('15.sz.melléklet'!D34)</f>
        <v>44191</v>
      </c>
      <c r="L12" s="497">
        <f>'15.sz.melléklet'!D23</f>
        <v>44678</v>
      </c>
      <c r="M12" s="497">
        <f>SUM('15.sz.melléklet'!D36)</f>
        <v>31196</v>
      </c>
      <c r="N12" s="497">
        <f>SUM('16.sz. melléklet'!D42)</f>
        <v>92984</v>
      </c>
      <c r="O12" s="556">
        <f>'16.sz. melléklet'!D35</f>
        <v>92421</v>
      </c>
      <c r="P12" s="862">
        <f>SUM('16.sz. melléklet'!D44)</f>
        <v>66464</v>
      </c>
      <c r="Q12" s="505">
        <f t="shared" si="2"/>
        <v>835689</v>
      </c>
      <c r="R12" s="505">
        <f>SUM(C12,F12,I12,L12,O12)</f>
        <v>861203</v>
      </c>
      <c r="S12" s="1283">
        <f t="shared" si="0"/>
        <v>281161</v>
      </c>
      <c r="T12" s="1287">
        <f t="shared" si="1"/>
        <v>0.32647471037606696</v>
      </c>
    </row>
    <row r="13" spans="1:20" ht="13.5" thickBot="1" x14ac:dyDescent="0.25">
      <c r="A13" s="493" t="s">
        <v>145</v>
      </c>
      <c r="B13" s="166">
        <f t="shared" ref="B13:G13" si="3">SUM(B5:B12)</f>
        <v>1461488</v>
      </c>
      <c r="C13" s="166" t="e">
        <f t="shared" si="3"/>
        <v>#REF!</v>
      </c>
      <c r="D13" s="166" t="e">
        <f t="shared" si="3"/>
        <v>#REF!</v>
      </c>
      <c r="E13" s="166">
        <f t="shared" si="3"/>
        <v>132223</v>
      </c>
      <c r="F13" s="166">
        <f t="shared" si="3"/>
        <v>153571</v>
      </c>
      <c r="G13" s="166">
        <f t="shared" si="3"/>
        <v>104598</v>
      </c>
      <c r="H13" s="166">
        <f>SUM(H6:H12)</f>
        <v>145334</v>
      </c>
      <c r="I13" s="166">
        <f>SUM(I5:I12)</f>
        <v>139991</v>
      </c>
      <c r="J13" s="166">
        <f>SUM(J5:J12)</f>
        <v>97495</v>
      </c>
      <c r="K13" s="166">
        <f>SUM(K6:K12)</f>
        <v>50896</v>
      </c>
      <c r="L13" s="499">
        <f>SUM(L5:L12)</f>
        <v>51383</v>
      </c>
      <c r="M13" s="499">
        <f>SUM(M5:M12)</f>
        <v>36735</v>
      </c>
      <c r="N13" s="499">
        <f>SUM(N6:N12)</f>
        <v>93284</v>
      </c>
      <c r="O13" s="550">
        <f>SUM(O5:O12)</f>
        <v>92721</v>
      </c>
      <c r="P13" s="550">
        <f>SUM(P5:P12)</f>
        <v>66987</v>
      </c>
      <c r="Q13" s="863">
        <f>SUM(Q5:Q12)</f>
        <v>1883225</v>
      </c>
      <c r="R13" s="1279" t="e">
        <f>SUM(R5:R12)</f>
        <v>#REF!</v>
      </c>
      <c r="S13" s="1284" t="e">
        <f t="shared" si="0"/>
        <v>#REF!</v>
      </c>
      <c r="T13" s="1288" t="e">
        <f t="shared" si="1"/>
        <v>#REF!</v>
      </c>
    </row>
    <row r="14" spans="1:20" ht="13.5" thickBot="1" x14ac:dyDescent="0.25"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500"/>
      <c r="O14" s="551"/>
      <c r="P14" s="551"/>
      <c r="Q14" s="553"/>
      <c r="R14" s="553"/>
      <c r="S14" s="1281"/>
      <c r="T14" s="1288"/>
    </row>
    <row r="15" spans="1:20" ht="15.75" customHeight="1" thickBot="1" x14ac:dyDescent="0.3">
      <c r="A15" s="495" t="s">
        <v>370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502"/>
      <c r="O15" s="502"/>
      <c r="P15" s="502"/>
      <c r="Q15" s="554">
        <f>Q13-E12-H12-K12-N12</f>
        <v>1497536</v>
      </c>
      <c r="R15" s="1280" t="e">
        <f>R13-F12-I12-L12-O12+1</f>
        <v>#REF!</v>
      </c>
      <c r="S15" s="1280" t="e">
        <f>S13-G12-J12-M12-P12+1-380</f>
        <v>#REF!</v>
      </c>
      <c r="T15" s="1413" t="e">
        <f t="shared" si="1"/>
        <v>#REF!</v>
      </c>
    </row>
    <row r="16" spans="1:20" ht="41.25" customHeight="1" thickBot="1" x14ac:dyDescent="0.3">
      <c r="A16" s="494" t="s">
        <v>127</v>
      </c>
      <c r="B16" s="1875" t="s">
        <v>123</v>
      </c>
      <c r="C16" s="1876"/>
      <c r="D16" s="1877"/>
      <c r="E16" s="1878" t="s">
        <v>125</v>
      </c>
      <c r="F16" s="1879"/>
      <c r="G16" s="1880"/>
      <c r="H16" s="1878" t="s">
        <v>126</v>
      </c>
      <c r="I16" s="1879"/>
      <c r="J16" s="1880"/>
      <c r="K16" s="1878" t="s">
        <v>193</v>
      </c>
      <c r="L16" s="1881"/>
      <c r="M16" s="1882"/>
      <c r="N16" s="1875" t="s">
        <v>124</v>
      </c>
      <c r="O16" s="1883"/>
      <c r="P16" s="1884"/>
      <c r="Q16" s="1885" t="s">
        <v>381</v>
      </c>
      <c r="R16" s="1886"/>
      <c r="S16" s="1886"/>
    </row>
    <row r="17" spans="1:20" ht="41.25" customHeight="1" x14ac:dyDescent="0.25">
      <c r="A17" s="494"/>
      <c r="B17" s="156" t="s">
        <v>389</v>
      </c>
      <c r="C17" s="156" t="s">
        <v>390</v>
      </c>
      <c r="D17" s="1151" t="s">
        <v>391</v>
      </c>
      <c r="E17" s="156" t="s">
        <v>389</v>
      </c>
      <c r="F17" s="156" t="s">
        <v>390</v>
      </c>
      <c r="G17" s="1151" t="s">
        <v>391</v>
      </c>
      <c r="H17" s="156" t="s">
        <v>389</v>
      </c>
      <c r="I17" s="156" t="s">
        <v>390</v>
      </c>
      <c r="J17" s="1151" t="s">
        <v>391</v>
      </c>
      <c r="K17" s="156" t="s">
        <v>389</v>
      </c>
      <c r="L17" s="156" t="s">
        <v>390</v>
      </c>
      <c r="M17" s="1151" t="s">
        <v>391</v>
      </c>
      <c r="N17" s="156" t="s">
        <v>389</v>
      </c>
      <c r="O17" s="156" t="s">
        <v>390</v>
      </c>
      <c r="P17" s="1151" t="s">
        <v>391</v>
      </c>
      <c r="Q17" s="156" t="s">
        <v>389</v>
      </c>
      <c r="R17" s="156" t="s">
        <v>390</v>
      </c>
      <c r="S17" s="1152"/>
      <c r="T17" s="1154"/>
    </row>
    <row r="18" spans="1:20" x14ac:dyDescent="0.2">
      <c r="A18" s="15" t="s">
        <v>10</v>
      </c>
      <c r="B18" s="164">
        <f>SUM('6. sz.melléklet'!C155)</f>
        <v>38491</v>
      </c>
      <c r="C18" s="907">
        <f>'6. sz.melléklet'!C156</f>
        <v>0</v>
      </c>
      <c r="D18" s="164">
        <f>SUM('6. sz.melléklet'!C157)</f>
        <v>0</v>
      </c>
      <c r="E18" s="164">
        <f>SUM('13.sz.melléklet'!C19)</f>
        <v>74262</v>
      </c>
      <c r="F18" s="164">
        <f>'13.sz.melléklet'!C20</f>
        <v>90205</v>
      </c>
      <c r="G18" s="164">
        <f>SUM('13.sz.melléklet'!C21)</f>
        <v>62412</v>
      </c>
      <c r="H18" s="164">
        <f>SUM('14.sz.melléklet'!C23)</f>
        <v>80828</v>
      </c>
      <c r="I18" s="164">
        <f>'14.sz.melléklet'!C24</f>
        <v>76844</v>
      </c>
      <c r="J18" s="164">
        <f>SUM('14.sz.melléklet'!C25)</f>
        <v>58463</v>
      </c>
      <c r="K18" s="164">
        <f>SUM('15.sz.melléklet'!C15)</f>
        <v>18883</v>
      </c>
      <c r="L18" s="497">
        <f>'15.sz.melléklet'!C16</f>
        <v>20487</v>
      </c>
      <c r="M18" s="497">
        <f>SUM('15.sz.melléklet'!C17)</f>
        <v>15711</v>
      </c>
      <c r="N18" s="497">
        <f>SUM('16.sz. melléklet'!C23)</f>
        <v>38494</v>
      </c>
      <c r="O18" s="497">
        <f>'16.sz. melléklet'!C24</f>
        <v>40624</v>
      </c>
      <c r="P18" s="497">
        <f>SUM('16.sz. melléklet'!C25)</f>
        <v>35111</v>
      </c>
      <c r="Q18" s="504">
        <f t="shared" ref="Q18:Q28" si="4">SUM(B18,E18,H18,K18,N18)</f>
        <v>250958</v>
      </c>
      <c r="R18" s="504">
        <f t="shared" ref="R18:R28" si="5">SUM(C18,F18,I18,L18,O18)</f>
        <v>228160</v>
      </c>
      <c r="S18" s="1285">
        <f>SUM(D18+G18+J18+M18+P18)</f>
        <v>171697</v>
      </c>
      <c r="T18" s="1286">
        <f>SUM(S18/R18)</f>
        <v>0.75252892706872365</v>
      </c>
    </row>
    <row r="19" spans="1:20" x14ac:dyDescent="0.2">
      <c r="A19" s="15" t="s">
        <v>334</v>
      </c>
      <c r="B19" s="164">
        <f>SUM('6. sz.melléklet'!D155)</f>
        <v>12311</v>
      </c>
      <c r="C19" s="164">
        <f>'6. sz.melléklet'!D156</f>
        <v>0</v>
      </c>
      <c r="D19" s="164">
        <f>SUM('6. sz.melléklet'!D157)</f>
        <v>0</v>
      </c>
      <c r="E19" s="164">
        <f>SUM('13.sz.melléklet'!D19)</f>
        <v>21568</v>
      </c>
      <c r="F19" s="164">
        <f>'13.sz.melléklet'!D20</f>
        <v>25777</v>
      </c>
      <c r="G19" s="164">
        <f>SUM('13.sz.melléklet'!D21)</f>
        <v>17872</v>
      </c>
      <c r="H19" s="164">
        <f>SUM('14.sz.melléklet'!D23)</f>
        <v>22972</v>
      </c>
      <c r="I19" s="164">
        <f>'14.sz.melléklet'!D24</f>
        <v>21899</v>
      </c>
      <c r="J19" s="164">
        <f>SUM('14.sz.melléklet'!D25)</f>
        <v>16570</v>
      </c>
      <c r="K19" s="164">
        <f>SUM('15.sz.melléklet'!D15)</f>
        <v>5735</v>
      </c>
      <c r="L19" s="497">
        <f>'15.sz.melléklet'!D16</f>
        <v>5484</v>
      </c>
      <c r="M19" s="497">
        <f>SUM('15.sz.melléklet'!D17)</f>
        <v>4745</v>
      </c>
      <c r="N19" s="497">
        <f>SUM('16.sz. melléklet'!D23)</f>
        <v>10990</v>
      </c>
      <c r="O19" s="497">
        <f>'16.sz. melléklet'!D24</f>
        <v>11628</v>
      </c>
      <c r="P19" s="497">
        <f>SUM('16.sz. melléklet'!D25)</f>
        <v>9063</v>
      </c>
      <c r="Q19" s="504">
        <f t="shared" si="4"/>
        <v>73576</v>
      </c>
      <c r="R19" s="504">
        <f t="shared" si="5"/>
        <v>64788</v>
      </c>
      <c r="S19" s="1285">
        <f t="shared" ref="S19:S29" si="6">SUM(D19+G19+J19+M19+P19)</f>
        <v>48250</v>
      </c>
      <c r="T19" s="1286">
        <f t="shared" ref="T19:T31" si="7">SUM(S19/R19)</f>
        <v>0.74473667963203061</v>
      </c>
    </row>
    <row r="20" spans="1:20" x14ac:dyDescent="0.2">
      <c r="A20" s="15" t="s">
        <v>21</v>
      </c>
      <c r="B20" s="164">
        <f>SUM('6. sz.melléklet'!E155)</f>
        <v>164011</v>
      </c>
      <c r="C20" s="164">
        <f>'6. sz.melléklet'!E156</f>
        <v>0</v>
      </c>
      <c r="D20" s="164">
        <f>SUM('6. sz.melléklet'!E157)</f>
        <v>0</v>
      </c>
      <c r="E20" s="164">
        <f>SUM('13.sz.melléklet'!E19)</f>
        <v>34293</v>
      </c>
      <c r="F20" s="164">
        <f>'13.sz.melléklet'!E20</f>
        <v>34649</v>
      </c>
      <c r="G20" s="164">
        <f>SUM('13.sz.melléklet'!E21)</f>
        <v>20927</v>
      </c>
      <c r="H20" s="164">
        <f>SUM('14.sz.melléklet'!E23)</f>
        <v>39457</v>
      </c>
      <c r="I20" s="164">
        <f>'14.sz.melléklet'!E24</f>
        <v>39599</v>
      </c>
      <c r="J20" s="164">
        <f>SUM('14.sz.melléklet'!E25)</f>
        <v>20878</v>
      </c>
      <c r="K20" s="164">
        <f>SUM('15.sz.melléklet'!E15)</f>
        <v>21240</v>
      </c>
      <c r="L20" s="497">
        <f>'15.sz.melléklet'!E16</f>
        <v>21144</v>
      </c>
      <c r="M20" s="497">
        <f>SUM('15.sz.melléklet'!E17)</f>
        <v>13738</v>
      </c>
      <c r="N20" s="497">
        <f>SUM('16.sz. melléklet'!E23)</f>
        <v>39863</v>
      </c>
      <c r="O20" s="497">
        <f>'16.sz. melléklet'!E24</f>
        <v>38869</v>
      </c>
      <c r="P20" s="497">
        <f>SUM('16.sz. melléklet'!E25)</f>
        <v>20840</v>
      </c>
      <c r="Q20" s="504">
        <f t="shared" si="4"/>
        <v>298864</v>
      </c>
      <c r="R20" s="504">
        <f t="shared" si="5"/>
        <v>134261</v>
      </c>
      <c r="S20" s="1285">
        <f t="shared" si="6"/>
        <v>76383</v>
      </c>
      <c r="T20" s="1286">
        <f t="shared" si="7"/>
        <v>0.56891427890452184</v>
      </c>
    </row>
    <row r="21" spans="1:20" x14ac:dyDescent="0.2">
      <c r="A21" s="15" t="s">
        <v>241</v>
      </c>
      <c r="B21" s="164">
        <f>SUM('6. sz.melléklet'!F155)</f>
        <v>50501</v>
      </c>
      <c r="C21" s="164">
        <f>'6. sz.melléklet'!F156</f>
        <v>0</v>
      </c>
      <c r="D21" s="164">
        <f>SUM('6. sz.melléklet'!F157)</f>
        <v>0</v>
      </c>
      <c r="E21" s="164"/>
      <c r="F21" s="164"/>
      <c r="G21" s="164"/>
      <c r="H21" s="164"/>
      <c r="I21" s="164"/>
      <c r="J21" s="164"/>
      <c r="K21" s="164"/>
      <c r="L21" s="497"/>
      <c r="M21" s="497"/>
      <c r="N21" s="497"/>
      <c r="O21" s="497"/>
      <c r="P21" s="497"/>
      <c r="Q21" s="504">
        <f t="shared" si="4"/>
        <v>50501</v>
      </c>
      <c r="R21" s="504">
        <f t="shared" si="5"/>
        <v>0</v>
      </c>
      <c r="S21" s="1285">
        <f t="shared" si="6"/>
        <v>0</v>
      </c>
      <c r="T21" s="1286" t="e">
        <f t="shared" si="7"/>
        <v>#DIV/0!</v>
      </c>
    </row>
    <row r="22" spans="1:20" x14ac:dyDescent="0.2">
      <c r="A22" s="15" t="s">
        <v>380</v>
      </c>
      <c r="B22" s="164">
        <f>SUM('6. sz.melléklet'!I155)</f>
        <v>41708</v>
      </c>
      <c r="C22" s="164">
        <f>'6. sz.melléklet'!I156</f>
        <v>0</v>
      </c>
      <c r="D22" s="164">
        <f>SUM('6. sz.melléklet'!I157)</f>
        <v>0</v>
      </c>
      <c r="E22" s="164"/>
      <c r="F22" s="164"/>
      <c r="G22" s="164"/>
      <c r="H22" s="164"/>
      <c r="I22" s="164"/>
      <c r="J22" s="164"/>
      <c r="K22" s="164"/>
      <c r="L22" s="497"/>
      <c r="M22" s="497"/>
      <c r="N22" s="497"/>
      <c r="O22" s="497"/>
      <c r="P22" s="497"/>
      <c r="Q22" s="504">
        <f t="shared" si="4"/>
        <v>41708</v>
      </c>
      <c r="R22" s="504">
        <f t="shared" si="5"/>
        <v>0</v>
      </c>
      <c r="S22" s="1285">
        <f t="shared" si="6"/>
        <v>0</v>
      </c>
      <c r="T22" s="1286" t="e">
        <f t="shared" si="7"/>
        <v>#DIV/0!</v>
      </c>
    </row>
    <row r="23" spans="1:20" x14ac:dyDescent="0.2">
      <c r="A23" s="15" t="s">
        <v>128</v>
      </c>
      <c r="B23" s="164">
        <f>SUM('6. sz.melléklet'!H155)</f>
        <v>284087</v>
      </c>
      <c r="C23" s="164">
        <f>'6. sz.melléklet'!H156</f>
        <v>0</v>
      </c>
      <c r="D23" s="164">
        <f>SUM('6. sz.melléklet'!H157)</f>
        <v>0</v>
      </c>
      <c r="E23" s="164">
        <f>SUM('13.sz.melléklet'!F19)</f>
        <v>2100</v>
      </c>
      <c r="F23" s="164">
        <f>'13.sz.melléklet'!F20</f>
        <v>2940</v>
      </c>
      <c r="G23" s="164">
        <v>2852</v>
      </c>
      <c r="H23" s="164">
        <f>SUM('14.sz.melléklet'!F23)</f>
        <v>2077</v>
      </c>
      <c r="I23" s="164">
        <f>SUM('14.a.sz. melléklet'!J18)</f>
        <v>309</v>
      </c>
      <c r="J23" s="164">
        <f>SUM('14.sz.melléklet'!F25)</f>
        <v>1521</v>
      </c>
      <c r="K23" s="164">
        <f>SUM('15.sz.melléklet'!F15)</f>
        <v>5038</v>
      </c>
      <c r="L23" s="497">
        <f>SUM('15.a.sz.melléklet'!J11)</f>
        <v>2818</v>
      </c>
      <c r="M23" s="497">
        <f>SUM('15.sz.melléklet'!F17)</f>
        <v>2187</v>
      </c>
      <c r="N23" s="497">
        <f>SUM('16.sz. melléklet'!F23)</f>
        <v>3937</v>
      </c>
      <c r="O23" s="497">
        <f>SUM('16.a.sz. melléklet'!J19)</f>
        <v>1600</v>
      </c>
      <c r="P23" s="497">
        <f>SUM('16.sz. melléklet'!F25)</f>
        <v>999</v>
      </c>
      <c r="Q23" s="504">
        <f t="shared" si="4"/>
        <v>297239</v>
      </c>
      <c r="R23" s="504">
        <f t="shared" si="5"/>
        <v>7667</v>
      </c>
      <c r="S23" s="1285">
        <f t="shared" si="6"/>
        <v>7559</v>
      </c>
      <c r="T23" s="1286">
        <f t="shared" si="7"/>
        <v>0.98591365592800317</v>
      </c>
    </row>
    <row r="24" spans="1:20" x14ac:dyDescent="0.2">
      <c r="A24" s="15" t="s">
        <v>129</v>
      </c>
      <c r="B24" s="164">
        <f>SUM('6. sz.melléklet'!G155)</f>
        <v>227360</v>
      </c>
      <c r="C24" s="164">
        <f>'6. sz.melléklet'!G156</f>
        <v>0</v>
      </c>
      <c r="D24" s="164">
        <f>SUM('6. sz.melléklet'!G157)</f>
        <v>0</v>
      </c>
      <c r="E24" s="164">
        <f>SUM('13.sz.melléklet'!G19)</f>
        <v>0</v>
      </c>
      <c r="F24" s="164">
        <f>'13.sz.melléklet'!G20</f>
        <v>0</v>
      </c>
      <c r="G24" s="164"/>
      <c r="H24" s="164">
        <v>0</v>
      </c>
      <c r="I24" s="164" t="e">
        <f>SUM('14.a.sz. melléklet'!E18)</f>
        <v>#REF!</v>
      </c>
      <c r="J24" s="164"/>
      <c r="K24" s="164">
        <v>0</v>
      </c>
      <c r="L24" s="497"/>
      <c r="M24" s="497"/>
      <c r="N24" s="497">
        <v>0</v>
      </c>
      <c r="O24" s="497"/>
      <c r="P24" s="497"/>
      <c r="Q24" s="504">
        <f t="shared" si="4"/>
        <v>227360</v>
      </c>
      <c r="R24" s="504" t="e">
        <f t="shared" si="5"/>
        <v>#REF!</v>
      </c>
      <c r="S24" s="1285">
        <f t="shared" si="6"/>
        <v>0</v>
      </c>
      <c r="T24" s="1286" t="e">
        <f t="shared" si="7"/>
        <v>#REF!</v>
      </c>
    </row>
    <row r="25" spans="1:20" x14ac:dyDescent="0.2">
      <c r="A25" s="15" t="s">
        <v>372</v>
      </c>
      <c r="B25" s="164">
        <f>SUM('6. sz.melléklet'!J155)</f>
        <v>169055</v>
      </c>
      <c r="C25" s="164">
        <f>'6. sz.melléklet'!J156</f>
        <v>0</v>
      </c>
      <c r="D25" s="164">
        <f>SUM('6. sz.melléklet'!J157)</f>
        <v>0</v>
      </c>
      <c r="E25" s="164"/>
      <c r="F25" s="164"/>
      <c r="G25" s="164"/>
      <c r="H25" s="164"/>
      <c r="I25" s="164"/>
      <c r="J25" s="164"/>
      <c r="K25" s="164"/>
      <c r="L25" s="497"/>
      <c r="M25" s="497"/>
      <c r="N25" s="497"/>
      <c r="O25" s="497"/>
      <c r="P25" s="497"/>
      <c r="Q25" s="504">
        <f t="shared" si="4"/>
        <v>169055</v>
      </c>
      <c r="R25" s="504">
        <f t="shared" si="5"/>
        <v>0</v>
      </c>
      <c r="S25" s="1285">
        <f t="shared" si="6"/>
        <v>0</v>
      </c>
      <c r="T25" s="1286" t="e">
        <f t="shared" si="7"/>
        <v>#DIV/0!</v>
      </c>
    </row>
    <row r="26" spans="1:20" x14ac:dyDescent="0.2">
      <c r="A26" s="15" t="s">
        <v>130</v>
      </c>
      <c r="B26" s="164">
        <f>SUM('6. sz.melléklet'!M155)</f>
        <v>389113</v>
      </c>
      <c r="C26" s="164">
        <f>'6. sz.melléklet'!M156</f>
        <v>0</v>
      </c>
      <c r="D26" s="164">
        <f>SUM('6. sz.melléklet'!M157)</f>
        <v>0</v>
      </c>
      <c r="E26" s="164"/>
      <c r="F26" s="164"/>
      <c r="G26" s="164"/>
      <c r="H26" s="164"/>
      <c r="I26" s="164"/>
      <c r="J26" s="164"/>
      <c r="K26" s="164"/>
      <c r="L26" s="497"/>
      <c r="M26" s="497"/>
      <c r="N26" s="497"/>
      <c r="O26" s="497"/>
      <c r="P26" s="497"/>
      <c r="Q26" s="504">
        <f t="shared" si="4"/>
        <v>389113</v>
      </c>
      <c r="R26" s="504">
        <f t="shared" si="5"/>
        <v>0</v>
      </c>
      <c r="S26" s="1285">
        <f t="shared" si="6"/>
        <v>0</v>
      </c>
      <c r="T26" s="1286" t="e">
        <f t="shared" si="7"/>
        <v>#DIV/0!</v>
      </c>
    </row>
    <row r="27" spans="1:20" x14ac:dyDescent="0.2">
      <c r="A27" s="15" t="s">
        <v>131</v>
      </c>
      <c r="B27" s="164">
        <f>SUM('6. sz.melléklet'!K152)</f>
        <v>64451</v>
      </c>
      <c r="C27" s="164">
        <f>'6. sz.melléklet'!K156</f>
        <v>22658</v>
      </c>
      <c r="D27" s="164">
        <f>SUM('6. sz.melléklet'!K157)</f>
        <v>0</v>
      </c>
      <c r="E27" s="164"/>
      <c r="F27" s="164"/>
      <c r="G27" s="164"/>
      <c r="H27" s="164"/>
      <c r="I27" s="164"/>
      <c r="J27" s="164"/>
      <c r="K27" s="164"/>
      <c r="L27" s="497"/>
      <c r="M27" s="497"/>
      <c r="N27" s="497"/>
      <c r="O27" s="497"/>
      <c r="P27" s="497"/>
      <c r="Q27" s="504">
        <f t="shared" si="4"/>
        <v>64451</v>
      </c>
      <c r="R27" s="504">
        <f t="shared" si="5"/>
        <v>22658</v>
      </c>
      <c r="S27" s="1285">
        <f t="shared" si="6"/>
        <v>0</v>
      </c>
      <c r="T27" s="1286">
        <f t="shared" si="7"/>
        <v>0</v>
      </c>
    </row>
    <row r="28" spans="1:20" ht="13.5" thickBot="1" x14ac:dyDescent="0.25">
      <c r="A28" s="157" t="s">
        <v>132</v>
      </c>
      <c r="B28" s="165">
        <f>SUM('6. sz.melléklet'!L155)</f>
        <v>20400</v>
      </c>
      <c r="C28" s="165">
        <f>'6. sz.melléklet'!L156</f>
        <v>-14950</v>
      </c>
      <c r="D28" s="165">
        <f>SUM('6. sz.melléklet'!L157)</f>
        <v>0</v>
      </c>
      <c r="E28" s="165"/>
      <c r="F28" s="165"/>
      <c r="G28" s="165"/>
      <c r="H28" s="165"/>
      <c r="I28" s="165"/>
      <c r="J28" s="165"/>
      <c r="K28" s="165"/>
      <c r="L28" s="501"/>
      <c r="M28" s="501"/>
      <c r="N28" s="501"/>
      <c r="O28" s="556"/>
      <c r="P28" s="556"/>
      <c r="Q28" s="505">
        <f t="shared" si="4"/>
        <v>20400</v>
      </c>
      <c r="R28" s="505">
        <f t="shared" si="5"/>
        <v>-14950</v>
      </c>
      <c r="S28" s="1285">
        <f t="shared" si="6"/>
        <v>0</v>
      </c>
      <c r="T28" s="1287">
        <f t="shared" si="7"/>
        <v>0</v>
      </c>
    </row>
    <row r="29" spans="1:20" ht="13.5" customHeight="1" thickBot="1" x14ac:dyDescent="0.25">
      <c r="A29" s="493" t="s">
        <v>146</v>
      </c>
      <c r="B29" s="166">
        <f t="shared" ref="B29:R29" si="8">SUM(B18:B28)</f>
        <v>1461488</v>
      </c>
      <c r="C29" s="166">
        <f t="shared" si="8"/>
        <v>7708</v>
      </c>
      <c r="D29" s="166">
        <f t="shared" si="8"/>
        <v>0</v>
      </c>
      <c r="E29" s="166">
        <f t="shared" si="8"/>
        <v>132223</v>
      </c>
      <c r="F29" s="166">
        <f t="shared" si="8"/>
        <v>153571</v>
      </c>
      <c r="G29" s="166">
        <f t="shared" si="8"/>
        <v>104063</v>
      </c>
      <c r="H29" s="166">
        <f t="shared" si="8"/>
        <v>145334</v>
      </c>
      <c r="I29" s="166" t="e">
        <f t="shared" si="8"/>
        <v>#REF!</v>
      </c>
      <c r="J29" s="166">
        <f t="shared" si="8"/>
        <v>97432</v>
      </c>
      <c r="K29" s="166">
        <f t="shared" si="8"/>
        <v>50896</v>
      </c>
      <c r="L29" s="499">
        <f t="shared" si="8"/>
        <v>49933</v>
      </c>
      <c r="M29" s="499">
        <f t="shared" si="8"/>
        <v>36381</v>
      </c>
      <c r="N29" s="499">
        <f t="shared" si="8"/>
        <v>93284</v>
      </c>
      <c r="O29" s="550">
        <f t="shared" si="8"/>
        <v>92721</v>
      </c>
      <c r="P29" s="550">
        <f t="shared" si="8"/>
        <v>66013</v>
      </c>
      <c r="Q29" s="557">
        <f t="shared" si="8"/>
        <v>1883225</v>
      </c>
      <c r="R29" s="166" t="e">
        <f t="shared" si="8"/>
        <v>#REF!</v>
      </c>
      <c r="S29" s="1285">
        <f t="shared" si="6"/>
        <v>303889</v>
      </c>
      <c r="T29" s="1288" t="e">
        <f t="shared" si="7"/>
        <v>#REF!</v>
      </c>
    </row>
    <row r="30" spans="1:20" ht="13.5" thickBot="1" x14ac:dyDescent="0.25"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500"/>
      <c r="O30" s="551"/>
      <c r="P30" s="551"/>
      <c r="Q30" s="166"/>
      <c r="R30" s="166"/>
      <c r="S30" s="391"/>
      <c r="T30" s="1288"/>
    </row>
    <row r="31" spans="1:20" ht="16.5" thickBot="1" x14ac:dyDescent="0.3">
      <c r="A31" s="495" t="s">
        <v>371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502"/>
      <c r="O31" s="502"/>
      <c r="P31" s="502"/>
      <c r="Q31" s="554">
        <f>SUM(Q29-E12-H12-K12-N12)</f>
        <v>1497536</v>
      </c>
      <c r="R31" s="555" t="e">
        <f>R29-F12-I12-L12-O12+1</f>
        <v>#REF!</v>
      </c>
      <c r="S31" s="555">
        <f>S29-G12-J12-M12-P12+1-380</f>
        <v>22349</v>
      </c>
      <c r="T31" s="1413" t="e">
        <f t="shared" si="7"/>
        <v>#REF!</v>
      </c>
    </row>
  </sheetData>
  <mergeCells count="13">
    <mergeCell ref="A1:N1"/>
    <mergeCell ref="B3:D3"/>
    <mergeCell ref="E3:G3"/>
    <mergeCell ref="H3:J3"/>
    <mergeCell ref="K3:M3"/>
    <mergeCell ref="N3:P3"/>
    <mergeCell ref="Q3:S3"/>
    <mergeCell ref="B16:D16"/>
    <mergeCell ref="E16:G16"/>
    <mergeCell ref="H16:J16"/>
    <mergeCell ref="K16:M16"/>
    <mergeCell ref="N16:P16"/>
    <mergeCell ref="Q16:S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B22"/>
    </sheetView>
  </sheetViews>
  <sheetFormatPr defaultRowHeight="12.75" x14ac:dyDescent="0.2"/>
  <cols>
    <col min="1" max="1" width="54.5703125" style="1" customWidth="1"/>
    <col min="2" max="2" width="29.28515625" customWidth="1"/>
  </cols>
  <sheetData>
    <row r="1" spans="1:3" x14ac:dyDescent="0.2">
      <c r="A1" s="5"/>
      <c r="B1" s="4"/>
    </row>
    <row r="2" spans="1:3" s="13" customFormat="1" ht="48" customHeight="1" x14ac:dyDescent="0.25">
      <c r="A2" s="1999" t="s">
        <v>530</v>
      </c>
      <c r="B2" s="2000"/>
      <c r="C2" s="30"/>
    </row>
    <row r="3" spans="1:3" ht="0.75" customHeight="1" x14ac:dyDescent="0.25">
      <c r="A3" s="38" t="s">
        <v>158</v>
      </c>
      <c r="B3" s="38"/>
      <c r="C3" s="4"/>
    </row>
    <row r="4" spans="1:3" s="1" customFormat="1" ht="0.75" customHeight="1" x14ac:dyDescent="0.2">
      <c r="A4"/>
      <c r="B4"/>
    </row>
    <row r="5" spans="1:3" ht="0.75" customHeight="1" thickBot="1" x14ac:dyDescent="0.25">
      <c r="A5"/>
      <c r="B5" s="1"/>
    </row>
    <row r="6" spans="1:3" ht="15" hidden="1" customHeight="1" thickBot="1" x14ac:dyDescent="0.25">
      <c r="A6"/>
      <c r="B6" s="1"/>
    </row>
    <row r="7" spans="1:3" ht="27.75" customHeight="1" x14ac:dyDescent="0.2">
      <c r="A7" s="408" t="s">
        <v>220</v>
      </c>
      <c r="B7" s="409" t="s">
        <v>221</v>
      </c>
    </row>
    <row r="8" spans="1:3" ht="15" customHeight="1" x14ac:dyDescent="0.2">
      <c r="A8" s="157"/>
      <c r="B8" s="412"/>
    </row>
    <row r="9" spans="1:3" ht="6" customHeight="1" x14ac:dyDescent="0.2">
      <c r="A9" s="410"/>
      <c r="B9" s="413"/>
    </row>
    <row r="10" spans="1:3" ht="15" customHeight="1" x14ac:dyDescent="0.2">
      <c r="A10" s="410"/>
      <c r="B10" s="413"/>
    </row>
    <row r="11" spans="1:3" ht="15" customHeight="1" x14ac:dyDescent="0.25">
      <c r="A11" s="415" t="s">
        <v>31</v>
      </c>
      <c r="B11" s="14"/>
    </row>
    <row r="12" spans="1:3" ht="3" customHeight="1" x14ac:dyDescent="0.2">
      <c r="A12" s="410"/>
      <c r="B12" s="413"/>
    </row>
    <row r="13" spans="1:3" ht="3" customHeight="1" x14ac:dyDescent="0.2">
      <c r="A13" s="410" t="s">
        <v>61</v>
      </c>
      <c r="B13" s="413"/>
    </row>
    <row r="14" spans="1:3" ht="6" customHeight="1" x14ac:dyDescent="0.2">
      <c r="A14" s="410"/>
      <c r="B14" s="413"/>
    </row>
    <row r="15" spans="1:3" ht="15" customHeight="1" x14ac:dyDescent="0.25">
      <c r="A15" s="415" t="s">
        <v>57</v>
      </c>
      <c r="B15" s="14"/>
    </row>
    <row r="16" spans="1:3" ht="6" customHeight="1" x14ac:dyDescent="0.2">
      <c r="A16" s="410"/>
      <c r="B16" s="413"/>
    </row>
    <row r="17" spans="1:2" ht="15.75" x14ac:dyDescent="0.25">
      <c r="A17" s="416" t="s">
        <v>177</v>
      </c>
      <c r="B17" s="14"/>
    </row>
    <row r="18" spans="1:2" ht="6" customHeight="1" x14ac:dyDescent="0.2">
      <c r="A18" s="411"/>
      <c r="B18" s="414"/>
    </row>
    <row r="19" spans="1:2" ht="15.75" x14ac:dyDescent="0.25">
      <c r="A19" s="417" t="s">
        <v>119</v>
      </c>
      <c r="B19" s="418"/>
    </row>
    <row r="20" spans="1:2" x14ac:dyDescent="0.2">
      <c r="A20" s="419" t="s">
        <v>68</v>
      </c>
      <c r="B20" s="17">
        <v>9</v>
      </c>
    </row>
    <row r="21" spans="1:2" ht="6" customHeight="1" x14ac:dyDescent="0.2">
      <c r="A21" s="410"/>
      <c r="B21" s="413"/>
    </row>
    <row r="22" spans="1:2" ht="15" customHeight="1" x14ac:dyDescent="0.2">
      <c r="A22" s="420" t="s">
        <v>8</v>
      </c>
      <c r="B22" s="14">
        <f>SUM(B10:B21)</f>
        <v>9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S120"/>
  <sheetViews>
    <sheetView tabSelected="1" workbookViewId="0">
      <selection activeCell="F93" sqref="F93"/>
    </sheetView>
  </sheetViews>
  <sheetFormatPr defaultRowHeight="12.75" x14ac:dyDescent="0.2"/>
  <cols>
    <col min="1" max="1" width="12.5703125" customWidth="1"/>
    <col min="2" max="2" width="25.140625" customWidth="1"/>
    <col min="3" max="8" width="15.7109375" customWidth="1"/>
    <col min="9" max="9" width="9.140625" style="4"/>
    <col min="10" max="10" width="10.5703125" style="4" bestFit="1" customWidth="1"/>
    <col min="11" max="19" width="9.140625" style="4"/>
  </cols>
  <sheetData>
    <row r="1" spans="1:19" ht="33.75" customHeight="1" thickBot="1" x14ac:dyDescent="0.3">
      <c r="A1" s="1944" t="s">
        <v>531</v>
      </c>
      <c r="B1" s="2005"/>
      <c r="C1" s="2005"/>
      <c r="D1" s="2005"/>
      <c r="E1" s="2005"/>
      <c r="F1" s="2005"/>
      <c r="G1" s="2005"/>
      <c r="H1" s="2006"/>
    </row>
    <row r="2" spans="1:19" ht="0.75" customHeight="1" x14ac:dyDescent="0.25">
      <c r="A2" s="37"/>
      <c r="B2" s="37"/>
    </row>
    <row r="3" spans="1:19" ht="0.75" customHeight="1" x14ac:dyDescent="0.2"/>
    <row r="4" spans="1:19" ht="0.75" customHeight="1" thickBot="1" x14ac:dyDescent="0.25">
      <c r="A4" s="4"/>
      <c r="B4" s="4"/>
      <c r="C4" s="4"/>
      <c r="D4" s="4"/>
      <c r="E4" s="4"/>
      <c r="F4" s="4"/>
      <c r="G4" s="4"/>
    </row>
    <row r="5" spans="1:19" ht="30.75" customHeight="1" x14ac:dyDescent="0.2">
      <c r="A5" s="426" t="s">
        <v>243</v>
      </c>
      <c r="B5" s="223" t="s">
        <v>95</v>
      </c>
      <c r="C5" s="224" t="s">
        <v>58</v>
      </c>
      <c r="D5" s="224" t="s">
        <v>93</v>
      </c>
      <c r="E5" s="224" t="s">
        <v>94</v>
      </c>
      <c r="F5" s="224" t="s">
        <v>350</v>
      </c>
      <c r="G5" s="838" t="s">
        <v>415</v>
      </c>
      <c r="H5" s="225" t="s">
        <v>54</v>
      </c>
    </row>
    <row r="6" spans="1:19" s="19" customFormat="1" ht="12" customHeight="1" x14ac:dyDescent="0.15">
      <c r="A6" s="734" t="s">
        <v>244</v>
      </c>
      <c r="B6" s="735" t="s">
        <v>3</v>
      </c>
      <c r="C6" s="317"/>
      <c r="D6" s="317"/>
      <c r="E6" s="317"/>
      <c r="F6" s="317"/>
      <c r="G6" s="839"/>
      <c r="H6" s="322"/>
      <c r="I6" s="88"/>
      <c r="J6" s="88"/>
      <c r="K6" s="88"/>
      <c r="L6" s="88"/>
      <c r="M6" s="85"/>
      <c r="N6" s="70"/>
      <c r="O6" s="70"/>
      <c r="P6" s="70"/>
      <c r="Q6" s="70"/>
      <c r="R6" s="70"/>
      <c r="S6" s="70"/>
    </row>
    <row r="7" spans="1:19" s="19" customFormat="1" ht="12" customHeight="1" thickBot="1" x14ac:dyDescent="0.2">
      <c r="A7" s="427"/>
      <c r="B7" s="429" t="s">
        <v>392</v>
      </c>
      <c r="C7" s="317">
        <v>67694</v>
      </c>
      <c r="D7" s="317">
        <v>19647</v>
      </c>
      <c r="E7" s="317">
        <v>32089</v>
      </c>
      <c r="F7" s="317">
        <v>2100</v>
      </c>
      <c r="G7" s="839"/>
      <c r="H7" s="757">
        <f>SUM(C7:G7)</f>
        <v>121530</v>
      </c>
      <c r="I7" s="88"/>
      <c r="J7" s="88"/>
      <c r="K7" s="88"/>
      <c r="L7" s="88"/>
      <c r="M7" s="85"/>
      <c r="N7" s="70"/>
      <c r="O7" s="70"/>
      <c r="P7" s="70"/>
      <c r="Q7" s="70"/>
      <c r="R7" s="70"/>
      <c r="S7" s="70"/>
    </row>
    <row r="8" spans="1:19" s="19" customFormat="1" ht="0.2" customHeight="1" x14ac:dyDescent="0.15">
      <c r="A8" s="427"/>
      <c r="B8" s="429" t="s">
        <v>393</v>
      </c>
      <c r="C8" s="317">
        <f>83466+121</f>
        <v>83587</v>
      </c>
      <c r="D8" s="317">
        <f>23866+32</f>
        <v>23898</v>
      </c>
      <c r="E8" s="317">
        <f>32253+203</f>
        <v>32456</v>
      </c>
      <c r="F8" s="317">
        <v>2790</v>
      </c>
      <c r="G8" s="839"/>
      <c r="H8" s="757">
        <f>SUM(C8:G8)</f>
        <v>142731</v>
      </c>
      <c r="I8" s="88"/>
      <c r="J8" s="88"/>
      <c r="K8" s="88"/>
      <c r="L8" s="88"/>
      <c r="M8" s="85"/>
      <c r="N8" s="70"/>
      <c r="O8" s="70"/>
      <c r="P8" s="70"/>
      <c r="Q8" s="70"/>
      <c r="R8" s="70"/>
      <c r="S8" s="70"/>
    </row>
    <row r="9" spans="1:19" s="19" customFormat="1" ht="0.2" customHeight="1" thickBot="1" x14ac:dyDescent="0.2">
      <c r="A9" s="449"/>
      <c r="B9" s="739" t="s">
        <v>391</v>
      </c>
      <c r="C9" s="740">
        <v>57231</v>
      </c>
      <c r="D9" s="740">
        <v>16594</v>
      </c>
      <c r="E9" s="740">
        <v>20040</v>
      </c>
      <c r="F9" s="740">
        <v>2795</v>
      </c>
      <c r="G9" s="840"/>
      <c r="H9" s="758">
        <f>SUM(C9:G9)</f>
        <v>96660</v>
      </c>
      <c r="I9" s="88"/>
      <c r="J9" s="88"/>
      <c r="K9" s="88"/>
      <c r="L9" s="88"/>
      <c r="M9" s="85"/>
      <c r="N9" s="70"/>
      <c r="O9" s="70"/>
      <c r="P9" s="70"/>
      <c r="Q9" s="70"/>
      <c r="R9" s="70"/>
      <c r="S9" s="70"/>
    </row>
    <row r="10" spans="1:19" s="19" customFormat="1" ht="12" customHeight="1" x14ac:dyDescent="0.15">
      <c r="A10" s="1128" t="s">
        <v>500</v>
      </c>
      <c r="B10" s="1177" t="s">
        <v>501</v>
      </c>
      <c r="C10" s="1175"/>
      <c r="D10" s="1175"/>
      <c r="E10" s="1175"/>
      <c r="F10" s="1175"/>
      <c r="G10" s="1175"/>
      <c r="H10" s="1176"/>
      <c r="I10" s="88"/>
      <c r="J10" s="88"/>
      <c r="K10" s="88"/>
      <c r="L10" s="88"/>
      <c r="M10" s="85"/>
      <c r="N10" s="70"/>
      <c r="O10" s="70"/>
      <c r="P10" s="70"/>
      <c r="Q10" s="70"/>
      <c r="R10" s="70"/>
      <c r="S10" s="70"/>
    </row>
    <row r="11" spans="1:19" s="19" customFormat="1" ht="12" customHeight="1" thickBot="1" x14ac:dyDescent="0.2">
      <c r="A11" s="449"/>
      <c r="B11" s="739" t="s">
        <v>392</v>
      </c>
      <c r="C11" s="740"/>
      <c r="D11" s="740"/>
      <c r="E11" s="740"/>
      <c r="F11" s="740"/>
      <c r="G11" s="740"/>
      <c r="H11" s="758"/>
      <c r="I11" s="88"/>
      <c r="J11" s="88"/>
      <c r="K11" s="88"/>
      <c r="L11" s="88"/>
      <c r="M11" s="85"/>
      <c r="N11" s="70"/>
      <c r="O11" s="70"/>
      <c r="P11" s="70"/>
      <c r="Q11" s="70"/>
      <c r="R11" s="70"/>
      <c r="S11" s="70"/>
    </row>
    <row r="12" spans="1:19" s="19" customFormat="1" ht="0.2" customHeight="1" x14ac:dyDescent="0.15">
      <c r="A12" s="432"/>
      <c r="B12" s="1708" t="s">
        <v>393</v>
      </c>
      <c r="C12" s="315"/>
      <c r="D12" s="315"/>
      <c r="E12" s="315"/>
      <c r="F12" s="315"/>
      <c r="G12" s="315"/>
      <c r="H12" s="759"/>
      <c r="I12" s="88"/>
      <c r="J12" s="88"/>
      <c r="K12" s="88"/>
      <c r="L12" s="88"/>
      <c r="M12" s="85"/>
      <c r="N12" s="70"/>
      <c r="O12" s="70"/>
      <c r="P12" s="70"/>
      <c r="Q12" s="70"/>
      <c r="R12" s="70"/>
      <c r="S12" s="70"/>
    </row>
    <row r="13" spans="1:19" s="19" customFormat="1" ht="0.2" customHeight="1" thickBot="1" x14ac:dyDescent="0.2">
      <c r="A13" s="449"/>
      <c r="B13" s="739" t="s">
        <v>391</v>
      </c>
      <c r="C13" s="740">
        <v>125</v>
      </c>
      <c r="D13" s="740">
        <v>34</v>
      </c>
      <c r="E13" s="740"/>
      <c r="F13" s="740"/>
      <c r="G13" s="740"/>
      <c r="H13" s="758">
        <f>SUM(C13:G13)</f>
        <v>159</v>
      </c>
      <c r="I13" s="88"/>
      <c r="J13" s="88"/>
      <c r="K13" s="88"/>
      <c r="L13" s="88"/>
      <c r="M13" s="85"/>
      <c r="N13" s="70"/>
      <c r="O13" s="70"/>
      <c r="P13" s="70"/>
      <c r="Q13" s="70"/>
      <c r="R13" s="70"/>
      <c r="S13" s="70"/>
    </row>
    <row r="14" spans="1:19" ht="12" customHeight="1" x14ac:dyDescent="0.2">
      <c r="A14" s="687" t="s">
        <v>246</v>
      </c>
      <c r="B14" s="737" t="s">
        <v>134</v>
      </c>
      <c r="C14" s="428"/>
      <c r="D14" s="428"/>
      <c r="E14" s="428"/>
      <c r="F14" s="428"/>
      <c r="G14" s="841"/>
      <c r="H14" s="759"/>
    </row>
    <row r="15" spans="1:19" ht="12" customHeight="1" thickBot="1" x14ac:dyDescent="0.25">
      <c r="A15" s="741"/>
      <c r="B15" s="739" t="s">
        <v>392</v>
      </c>
      <c r="C15" s="760">
        <v>6568</v>
      </c>
      <c r="D15" s="760">
        <v>1921</v>
      </c>
      <c r="E15" s="760">
        <v>2204</v>
      </c>
      <c r="F15" s="760">
        <v>0</v>
      </c>
      <c r="G15" s="1170"/>
      <c r="H15" s="758">
        <f>SUM(C15:F15)</f>
        <v>10693</v>
      </c>
    </row>
    <row r="16" spans="1:19" ht="0.2" customHeight="1" x14ac:dyDescent="0.2">
      <c r="A16" s="723"/>
      <c r="B16" s="1708" t="s">
        <v>393</v>
      </c>
      <c r="C16" s="428">
        <f>6544+74</f>
        <v>6618</v>
      </c>
      <c r="D16" s="428">
        <f>1859+20</f>
        <v>1879</v>
      </c>
      <c r="E16" s="428">
        <v>2193</v>
      </c>
      <c r="F16" s="428">
        <v>150</v>
      </c>
      <c r="G16" s="841"/>
      <c r="H16" s="759">
        <f>SUM(C16:F16)</f>
        <v>10840</v>
      </c>
    </row>
    <row r="17" spans="1:19" ht="0.2" customHeight="1" thickBot="1" x14ac:dyDescent="0.25">
      <c r="A17" s="741"/>
      <c r="B17" s="739" t="s">
        <v>391</v>
      </c>
      <c r="C17" s="760">
        <v>5056</v>
      </c>
      <c r="D17" s="760">
        <v>1244</v>
      </c>
      <c r="E17" s="760">
        <v>887</v>
      </c>
      <c r="F17" s="760">
        <v>57</v>
      </c>
      <c r="G17" s="1170"/>
      <c r="H17" s="758">
        <f>SUM(C17:F17)</f>
        <v>7244</v>
      </c>
    </row>
    <row r="18" spans="1:19" ht="12" customHeight="1" x14ac:dyDescent="0.2">
      <c r="A18" s="2009" t="s">
        <v>97</v>
      </c>
      <c r="B18" s="2010"/>
      <c r="C18" s="749"/>
      <c r="D18" s="749"/>
      <c r="E18" s="749"/>
      <c r="F18" s="749"/>
      <c r="G18" s="843"/>
      <c r="H18" s="750"/>
      <c r="I18" s="282"/>
      <c r="J18" s="159"/>
    </row>
    <row r="19" spans="1:19" ht="12" customHeight="1" thickBot="1" x14ac:dyDescent="0.25">
      <c r="A19" s="747"/>
      <c r="B19" s="748" t="s">
        <v>392</v>
      </c>
      <c r="C19" s="1709">
        <f t="shared" ref="C19:F21" si="0">C7+C15</f>
        <v>74262</v>
      </c>
      <c r="D19" s="1709">
        <f t="shared" si="0"/>
        <v>21568</v>
      </c>
      <c r="E19" s="1709">
        <f t="shared" si="0"/>
        <v>34293</v>
      </c>
      <c r="F19" s="1709">
        <f t="shared" si="0"/>
        <v>2100</v>
      </c>
      <c r="G19" s="1710">
        <v>0</v>
      </c>
      <c r="H19" s="1711">
        <f>H7+H15</f>
        <v>132223</v>
      </c>
      <c r="I19" s="282"/>
      <c r="J19" s="159"/>
    </row>
    <row r="20" spans="1:19" ht="0.2" customHeight="1" x14ac:dyDescent="0.2">
      <c r="A20" s="752"/>
      <c r="B20" s="753" t="s">
        <v>393</v>
      </c>
      <c r="C20" s="754">
        <f t="shared" si="0"/>
        <v>90205</v>
      </c>
      <c r="D20" s="754">
        <f t="shared" si="0"/>
        <v>25777</v>
      </c>
      <c r="E20" s="754">
        <f t="shared" si="0"/>
        <v>34649</v>
      </c>
      <c r="F20" s="754">
        <f t="shared" si="0"/>
        <v>2940</v>
      </c>
      <c r="G20" s="850">
        <f>G8+G16</f>
        <v>0</v>
      </c>
      <c r="H20" s="799">
        <f>H8+H16</f>
        <v>153571</v>
      </c>
      <c r="I20" s="282"/>
      <c r="J20" s="159"/>
    </row>
    <row r="21" spans="1:19" ht="0.2" customHeight="1" x14ac:dyDescent="0.2">
      <c r="A21" s="1163"/>
      <c r="B21" s="1164" t="s">
        <v>391</v>
      </c>
      <c r="C21" s="745">
        <f>C9+C17+C13</f>
        <v>62412</v>
      </c>
      <c r="D21" s="745">
        <f>D9+D17+D13</f>
        <v>17872</v>
      </c>
      <c r="E21" s="745">
        <f t="shared" si="0"/>
        <v>20927</v>
      </c>
      <c r="F21" s="745">
        <f t="shared" si="0"/>
        <v>2852</v>
      </c>
      <c r="G21" s="844">
        <f>G9+G17</f>
        <v>0</v>
      </c>
      <c r="H21" s="746">
        <f>H9+H17+H13</f>
        <v>104063</v>
      </c>
      <c r="I21" s="282"/>
      <c r="J21" s="159"/>
    </row>
    <row r="22" spans="1:19" ht="0.2" customHeight="1" thickBot="1" x14ac:dyDescent="0.25">
      <c r="A22" s="747"/>
      <c r="B22" s="748" t="s">
        <v>498</v>
      </c>
      <c r="C22" s="1159">
        <f>SUM(C21)/C20</f>
        <v>0.6918906934205421</v>
      </c>
      <c r="D22" s="1159">
        <f t="shared" ref="D22:H22" si="1">SUM(D21)/D20</f>
        <v>0.69333126430538849</v>
      </c>
      <c r="E22" s="1159">
        <f t="shared" si="1"/>
        <v>0.60397125458166179</v>
      </c>
      <c r="F22" s="1159">
        <f t="shared" si="1"/>
        <v>0.97006802721088436</v>
      </c>
      <c r="G22" s="1159"/>
      <c r="H22" s="1159">
        <f t="shared" si="1"/>
        <v>0.67762142592025842</v>
      </c>
      <c r="I22" s="282"/>
      <c r="J22" s="159"/>
    </row>
    <row r="23" spans="1:19" ht="6.75" customHeight="1" x14ac:dyDescent="0.2">
      <c r="A23" s="175"/>
      <c r="B23" s="68"/>
      <c r="C23" s="282"/>
      <c r="D23" s="282"/>
      <c r="E23" s="282"/>
      <c r="F23" s="282"/>
      <c r="G23" s="282"/>
      <c r="H23" s="738"/>
    </row>
    <row r="24" spans="1:19" ht="31.5" customHeight="1" x14ac:dyDescent="0.2">
      <c r="A24" s="226" t="s">
        <v>96</v>
      </c>
      <c r="B24" s="104" t="s">
        <v>95</v>
      </c>
      <c r="C24" s="313" t="s">
        <v>183</v>
      </c>
      <c r="D24" s="313" t="s">
        <v>98</v>
      </c>
      <c r="E24" s="313" t="s">
        <v>308</v>
      </c>
      <c r="F24" s="313" t="s">
        <v>332</v>
      </c>
      <c r="G24" s="845"/>
      <c r="H24" s="322"/>
    </row>
    <row r="25" spans="1:19" s="19" customFormat="1" ht="12" customHeight="1" x14ac:dyDescent="0.15">
      <c r="A25" s="734" t="s">
        <v>244</v>
      </c>
      <c r="B25" s="735" t="s">
        <v>3</v>
      </c>
      <c r="C25" s="315"/>
      <c r="D25" s="315"/>
      <c r="E25" s="315"/>
      <c r="F25" s="315"/>
      <c r="G25" s="846"/>
      <c r="H25" s="322"/>
      <c r="I25" s="88"/>
      <c r="J25" s="88"/>
      <c r="K25" s="88"/>
      <c r="L25" s="88"/>
      <c r="M25" s="85"/>
      <c r="N25" s="70"/>
      <c r="O25" s="70"/>
      <c r="P25" s="70"/>
      <c r="Q25" s="70"/>
      <c r="R25" s="70"/>
      <c r="S25" s="70"/>
    </row>
    <row r="26" spans="1:19" s="19" customFormat="1" ht="12" customHeight="1" thickBot="1" x14ac:dyDescent="0.2">
      <c r="A26" s="427"/>
      <c r="B26" s="429" t="s">
        <v>392</v>
      </c>
      <c r="C26" s="315">
        <v>100</v>
      </c>
      <c r="D26" s="315">
        <v>14554</v>
      </c>
      <c r="E26" s="315"/>
      <c r="F26" s="315"/>
      <c r="G26" s="846"/>
      <c r="H26" s="757">
        <f>SUM(C26:F26)</f>
        <v>14654</v>
      </c>
      <c r="I26" s="88"/>
      <c r="J26" s="88"/>
      <c r="K26" s="88"/>
      <c r="L26" s="88"/>
      <c r="M26" s="85"/>
      <c r="N26" s="70"/>
      <c r="O26" s="70"/>
      <c r="P26" s="70"/>
      <c r="Q26" s="70"/>
      <c r="R26" s="70"/>
      <c r="S26" s="70"/>
    </row>
    <row r="27" spans="1:19" s="19" customFormat="1" ht="0.2" customHeight="1" x14ac:dyDescent="0.15">
      <c r="A27" s="427"/>
      <c r="B27" s="429" t="s">
        <v>393</v>
      </c>
      <c r="C27" s="315">
        <v>100</v>
      </c>
      <c r="D27" s="315">
        <v>14582</v>
      </c>
      <c r="E27" s="315"/>
      <c r="F27" s="315"/>
      <c r="G27" s="846"/>
      <c r="H27" s="757">
        <f>SUM(C27:F27)</f>
        <v>14682</v>
      </c>
      <c r="I27" s="88"/>
      <c r="J27" s="88"/>
      <c r="K27" s="88"/>
      <c r="L27" s="88"/>
      <c r="M27" s="85"/>
      <c r="N27" s="70"/>
      <c r="O27" s="70"/>
      <c r="P27" s="70"/>
      <c r="Q27" s="70"/>
      <c r="R27" s="70"/>
      <c r="S27" s="70"/>
    </row>
    <row r="28" spans="1:19" s="19" customFormat="1" ht="0.2" customHeight="1" thickBot="1" x14ac:dyDescent="0.2">
      <c r="A28" s="449"/>
      <c r="B28" s="739" t="s">
        <v>391</v>
      </c>
      <c r="C28" s="771"/>
      <c r="D28" s="771">
        <v>8790</v>
      </c>
      <c r="E28" s="771">
        <v>-380</v>
      </c>
      <c r="F28" s="771"/>
      <c r="G28" s="1171"/>
      <c r="H28" s="758">
        <f>SUM(C28:F28)</f>
        <v>8410</v>
      </c>
      <c r="I28" s="88"/>
      <c r="J28" s="88"/>
      <c r="K28" s="88"/>
      <c r="L28" s="88"/>
      <c r="M28" s="85"/>
      <c r="N28" s="70"/>
      <c r="O28" s="70"/>
      <c r="P28" s="70"/>
      <c r="Q28" s="70"/>
      <c r="R28" s="70"/>
      <c r="S28" s="70"/>
    </row>
    <row r="29" spans="1:19" s="19" customFormat="1" ht="12" customHeight="1" x14ac:dyDescent="0.15">
      <c r="A29" s="1128" t="s">
        <v>500</v>
      </c>
      <c r="B29" s="1177" t="s">
        <v>501</v>
      </c>
      <c r="C29" s="1175"/>
      <c r="D29" s="1175"/>
      <c r="E29" s="1175"/>
      <c r="F29" s="1175"/>
      <c r="G29" s="1175"/>
      <c r="H29" s="1176"/>
      <c r="I29" s="88"/>
      <c r="J29" s="88"/>
      <c r="K29" s="88"/>
      <c r="L29" s="88"/>
      <c r="M29" s="85"/>
      <c r="N29" s="70"/>
      <c r="O29" s="70"/>
      <c r="P29" s="70"/>
      <c r="Q29" s="70"/>
      <c r="R29" s="70"/>
      <c r="S29" s="70"/>
    </row>
    <row r="30" spans="1:19" s="19" customFormat="1" ht="12" customHeight="1" thickBot="1" x14ac:dyDescent="0.2">
      <c r="A30" s="449"/>
      <c r="B30" s="739" t="s">
        <v>392</v>
      </c>
      <c r="C30" s="740"/>
      <c r="D30" s="740"/>
      <c r="E30" s="740"/>
      <c r="F30" s="740"/>
      <c r="G30" s="740"/>
      <c r="H30" s="758"/>
      <c r="I30" s="88"/>
      <c r="J30" s="88"/>
      <c r="K30" s="88"/>
      <c r="L30" s="88"/>
      <c r="M30" s="85"/>
      <c r="N30" s="70"/>
      <c r="O30" s="70"/>
      <c r="P30" s="70"/>
      <c r="Q30" s="70"/>
      <c r="R30" s="70"/>
      <c r="S30" s="70"/>
    </row>
    <row r="31" spans="1:19" s="19" customFormat="1" ht="0.2" customHeight="1" x14ac:dyDescent="0.15">
      <c r="A31" s="432"/>
      <c r="B31" s="1708" t="s">
        <v>393</v>
      </c>
      <c r="C31" s="315"/>
      <c r="D31" s="315"/>
      <c r="E31" s="315"/>
      <c r="F31" s="315"/>
      <c r="G31" s="315"/>
      <c r="H31" s="759"/>
      <c r="I31" s="88"/>
      <c r="J31" s="88"/>
      <c r="K31" s="88"/>
      <c r="L31" s="88"/>
      <c r="M31" s="85"/>
      <c r="N31" s="70"/>
      <c r="O31" s="70"/>
      <c r="P31" s="70"/>
      <c r="Q31" s="70"/>
      <c r="R31" s="70"/>
      <c r="S31" s="70"/>
    </row>
    <row r="32" spans="1:19" s="19" customFormat="1" ht="0.2" customHeight="1" thickBot="1" x14ac:dyDescent="0.2">
      <c r="A32" s="449"/>
      <c r="B32" s="739" t="s">
        <v>391</v>
      </c>
      <c r="C32" s="740"/>
      <c r="D32" s="740"/>
      <c r="E32" s="740"/>
      <c r="F32" s="740">
        <v>519</v>
      </c>
      <c r="G32" s="740"/>
      <c r="H32" s="758">
        <f>SUM(C32:G32)</f>
        <v>519</v>
      </c>
      <c r="I32" s="88"/>
      <c r="J32" s="88"/>
      <c r="K32" s="88"/>
      <c r="L32" s="88"/>
      <c r="M32" s="85"/>
      <c r="N32" s="70"/>
      <c r="O32" s="70"/>
      <c r="P32" s="70"/>
      <c r="Q32" s="70"/>
      <c r="R32" s="70"/>
      <c r="S32" s="70"/>
    </row>
    <row r="33" spans="1:19" s="19" customFormat="1" ht="12" customHeight="1" x14ac:dyDescent="0.15">
      <c r="A33" s="687" t="s">
        <v>305</v>
      </c>
      <c r="B33" s="744" t="s">
        <v>307</v>
      </c>
      <c r="C33" s="315"/>
      <c r="D33" s="315"/>
      <c r="E33" s="315"/>
      <c r="F33" s="315"/>
      <c r="G33" s="846"/>
      <c r="H33" s="768"/>
      <c r="I33" s="88"/>
      <c r="J33" s="88"/>
      <c r="K33" s="88"/>
      <c r="L33" s="88"/>
      <c r="M33" s="85"/>
      <c r="N33" s="70"/>
      <c r="O33" s="70"/>
      <c r="P33" s="70"/>
      <c r="Q33" s="70"/>
      <c r="R33" s="70"/>
      <c r="S33" s="70"/>
    </row>
    <row r="34" spans="1:19" s="19" customFormat="1" ht="12" customHeight="1" thickBot="1" x14ac:dyDescent="0.2">
      <c r="A34" s="770"/>
      <c r="B34" s="739" t="s">
        <v>392</v>
      </c>
      <c r="C34" s="740"/>
      <c r="D34" s="740"/>
      <c r="E34" s="740">
        <f>SUM(H19-C38-D38)</f>
        <v>117569</v>
      </c>
      <c r="F34" s="740"/>
      <c r="G34" s="840"/>
      <c r="H34" s="758">
        <f>SUM(C34:F34)</f>
        <v>117569</v>
      </c>
      <c r="I34" s="88"/>
      <c r="J34" s="88"/>
      <c r="K34" s="88"/>
      <c r="L34" s="88"/>
      <c r="M34" s="85"/>
      <c r="N34" s="70"/>
      <c r="O34" s="70"/>
      <c r="P34" s="70"/>
      <c r="Q34" s="70"/>
      <c r="R34" s="70"/>
      <c r="S34" s="70"/>
    </row>
    <row r="35" spans="1:19" s="19" customFormat="1" ht="0.2" customHeight="1" x14ac:dyDescent="0.15">
      <c r="A35" s="727"/>
      <c r="B35" s="1708" t="s">
        <v>393</v>
      </c>
      <c r="C35" s="315"/>
      <c r="D35" s="315"/>
      <c r="E35" s="315">
        <f>H20-C27-D27</f>
        <v>138889</v>
      </c>
      <c r="F35" s="315"/>
      <c r="G35" s="846"/>
      <c r="H35" s="759">
        <f>SUM(C35:F35)</f>
        <v>138889</v>
      </c>
      <c r="I35" s="88"/>
      <c r="J35" s="88"/>
      <c r="K35" s="88"/>
      <c r="L35" s="88"/>
      <c r="M35" s="85"/>
      <c r="N35" s="70"/>
      <c r="O35" s="70"/>
      <c r="P35" s="70"/>
      <c r="Q35" s="70"/>
      <c r="R35" s="70"/>
      <c r="S35" s="70"/>
    </row>
    <row r="36" spans="1:19" s="19" customFormat="1" ht="0.2" customHeight="1" x14ac:dyDescent="0.15">
      <c r="A36" s="432"/>
      <c r="B36" s="429" t="s">
        <v>391</v>
      </c>
      <c r="C36" s="317"/>
      <c r="D36" s="317"/>
      <c r="E36" s="317">
        <v>95669</v>
      </c>
      <c r="F36" s="317"/>
      <c r="G36" s="839"/>
      <c r="H36" s="757">
        <f>SUM(C36:F36)</f>
        <v>95669</v>
      </c>
      <c r="I36" s="88"/>
      <c r="J36" s="88"/>
      <c r="K36" s="88"/>
      <c r="L36" s="88"/>
      <c r="M36" s="85"/>
      <c r="N36" s="70"/>
      <c r="O36" s="70"/>
      <c r="P36" s="70"/>
      <c r="Q36" s="70"/>
      <c r="R36" s="70"/>
      <c r="S36" s="70"/>
    </row>
    <row r="37" spans="1:19" ht="12" customHeight="1" thickBot="1" x14ac:dyDescent="0.25">
      <c r="A37" s="2011" t="s">
        <v>99</v>
      </c>
      <c r="B37" s="2012"/>
      <c r="C37" s="755"/>
      <c r="D37" s="755"/>
      <c r="E37" s="755"/>
      <c r="F37" s="755"/>
      <c r="G37" s="847"/>
      <c r="H37" s="756"/>
      <c r="I37" s="282"/>
      <c r="J37" s="159"/>
    </row>
    <row r="38" spans="1:19" ht="12" customHeight="1" thickBot="1" x14ac:dyDescent="0.25">
      <c r="A38" s="1712"/>
      <c r="B38" s="1713" t="s">
        <v>392</v>
      </c>
      <c r="C38" s="1714">
        <f t="shared" ref="C38:F40" si="2">C26+C34</f>
        <v>100</v>
      </c>
      <c r="D38" s="1714">
        <f t="shared" si="2"/>
        <v>14554</v>
      </c>
      <c r="E38" s="1714">
        <f t="shared" si="2"/>
        <v>117569</v>
      </c>
      <c r="F38" s="1714">
        <f t="shared" si="2"/>
        <v>0</v>
      </c>
      <c r="G38" s="1714"/>
      <c r="H38" s="1714">
        <f>H26+H34</f>
        <v>132223</v>
      </c>
      <c r="I38" s="282"/>
      <c r="J38" s="159"/>
    </row>
    <row r="39" spans="1:19" ht="0.2" customHeight="1" x14ac:dyDescent="0.2">
      <c r="A39" s="752"/>
      <c r="B39" s="753" t="s">
        <v>393</v>
      </c>
      <c r="C39" s="754">
        <f t="shared" si="2"/>
        <v>100</v>
      </c>
      <c r="D39" s="754">
        <f t="shared" si="2"/>
        <v>14582</v>
      </c>
      <c r="E39" s="754">
        <f t="shared" si="2"/>
        <v>138889</v>
      </c>
      <c r="F39" s="754">
        <f t="shared" si="2"/>
        <v>0</v>
      </c>
      <c r="G39" s="754"/>
      <c r="H39" s="754">
        <f>H27+H35</f>
        <v>153571</v>
      </c>
      <c r="I39" s="282"/>
      <c r="J39" s="159"/>
    </row>
    <row r="40" spans="1:19" ht="0.2" customHeight="1" x14ac:dyDescent="0.2">
      <c r="A40" s="1163"/>
      <c r="B40" s="1164" t="s">
        <v>391</v>
      </c>
      <c r="C40" s="754">
        <f t="shared" si="2"/>
        <v>0</v>
      </c>
      <c r="D40" s="754">
        <f t="shared" si="2"/>
        <v>8790</v>
      </c>
      <c r="E40" s="754">
        <f t="shared" si="2"/>
        <v>95289</v>
      </c>
      <c r="F40" s="754">
        <f>SUM(F32)</f>
        <v>519</v>
      </c>
      <c r="G40" s="754"/>
      <c r="H40" s="754">
        <f>H28+H36+H32</f>
        <v>104598</v>
      </c>
      <c r="I40" s="282"/>
      <c r="J40" s="159"/>
    </row>
    <row r="41" spans="1:19" ht="0.2" customHeight="1" thickBot="1" x14ac:dyDescent="0.25">
      <c r="A41" s="747"/>
      <c r="B41" s="748" t="s">
        <v>498</v>
      </c>
      <c r="C41" s="1168">
        <f>SUM(C40)/C39</f>
        <v>0</v>
      </c>
      <c r="D41" s="1168">
        <f t="shared" ref="D41:H41" si="3">SUM(D40)/D39</f>
        <v>0.60279797010012348</v>
      </c>
      <c r="E41" s="1168">
        <f t="shared" si="3"/>
        <v>0.68608025113579907</v>
      </c>
      <c r="F41" s="1168"/>
      <c r="G41" s="1168"/>
      <c r="H41" s="1168">
        <f t="shared" si="3"/>
        <v>0.68110515657253001</v>
      </c>
      <c r="I41" s="282"/>
      <c r="J41" s="159"/>
    </row>
    <row r="42" spans="1:19" ht="6.75" customHeight="1" thickBot="1" x14ac:dyDescent="0.25">
      <c r="A42" s="4"/>
      <c r="B42" s="4"/>
      <c r="C42" s="4"/>
      <c r="D42" s="4"/>
      <c r="E42" s="4"/>
      <c r="F42" s="4"/>
      <c r="G42" s="4"/>
      <c r="H42" s="4"/>
    </row>
    <row r="43" spans="1:19" ht="29.25" customHeight="1" thickBot="1" x14ac:dyDescent="0.3">
      <c r="A43" s="1944" t="s">
        <v>532</v>
      </c>
      <c r="B43" s="2005"/>
      <c r="C43" s="2005"/>
      <c r="D43" s="2005"/>
      <c r="E43" s="2005"/>
      <c r="F43" s="2005"/>
      <c r="G43" s="2005"/>
      <c r="H43" s="2006"/>
    </row>
    <row r="44" spans="1:19" ht="21" x14ac:dyDescent="0.2">
      <c r="A44" s="222" t="s">
        <v>96</v>
      </c>
      <c r="B44" s="223" t="s">
        <v>95</v>
      </c>
      <c r="C44" s="224" t="s">
        <v>58</v>
      </c>
      <c r="D44" s="224" t="s">
        <v>93</v>
      </c>
      <c r="E44" s="224" t="s">
        <v>94</v>
      </c>
      <c r="F44" s="224" t="s">
        <v>350</v>
      </c>
      <c r="G44" s="838" t="s">
        <v>415</v>
      </c>
      <c r="H44" s="225" t="s">
        <v>54</v>
      </c>
    </row>
    <row r="45" spans="1:19" ht="12" customHeight="1" x14ac:dyDescent="0.2">
      <c r="A45" s="2007" t="s">
        <v>184</v>
      </c>
      <c r="B45" s="2008"/>
      <c r="C45" s="361"/>
      <c r="D45" s="361"/>
      <c r="E45" s="361"/>
      <c r="F45" s="361"/>
      <c r="G45" s="848"/>
      <c r="H45" s="362"/>
    </row>
    <row r="46" spans="1:19" ht="12" customHeight="1" x14ac:dyDescent="0.2">
      <c r="A46" s="734" t="s">
        <v>246</v>
      </c>
      <c r="B46" s="736" t="s">
        <v>134</v>
      </c>
      <c r="C46" s="323"/>
      <c r="D46" s="323"/>
      <c r="E46" s="323"/>
      <c r="F46" s="428"/>
      <c r="G46" s="841"/>
      <c r="H46" s="324"/>
    </row>
    <row r="47" spans="1:19" ht="12" customHeight="1" thickBot="1" x14ac:dyDescent="0.25">
      <c r="A47" s="730"/>
      <c r="B47" s="429" t="s">
        <v>392</v>
      </c>
      <c r="C47" s="428">
        <f t="shared" ref="C47:E49" si="4">C15</f>
        <v>6568</v>
      </c>
      <c r="D47" s="428">
        <f t="shared" si="4"/>
        <v>1921</v>
      </c>
      <c r="E47" s="428">
        <f t="shared" si="4"/>
        <v>2204</v>
      </c>
      <c r="F47" s="428">
        <f>SUM(F15)</f>
        <v>0</v>
      </c>
      <c r="G47" s="841"/>
      <c r="H47" s="764">
        <f>SUM(C47:G47)</f>
        <v>10693</v>
      </c>
    </row>
    <row r="48" spans="1:19" ht="0.2" customHeight="1" x14ac:dyDescent="0.2">
      <c r="A48" s="762"/>
      <c r="B48" s="429" t="s">
        <v>393</v>
      </c>
      <c r="C48" s="428">
        <f t="shared" si="4"/>
        <v>6618</v>
      </c>
      <c r="D48" s="428">
        <f t="shared" si="4"/>
        <v>1879</v>
      </c>
      <c r="E48" s="428">
        <f t="shared" si="4"/>
        <v>2193</v>
      </c>
      <c r="F48" s="323">
        <f>SUM(F16)</f>
        <v>150</v>
      </c>
      <c r="G48" s="842"/>
      <c r="H48" s="764">
        <f>SUM(C48:G48)</f>
        <v>10840</v>
      </c>
    </row>
    <row r="49" spans="1:8" ht="0.2" customHeight="1" thickBot="1" x14ac:dyDescent="0.25">
      <c r="A49" s="763"/>
      <c r="B49" s="1165" t="s">
        <v>391</v>
      </c>
      <c r="C49" s="742">
        <f t="shared" si="4"/>
        <v>5056</v>
      </c>
      <c r="D49" s="742">
        <f t="shared" si="4"/>
        <v>1244</v>
      </c>
      <c r="E49" s="742">
        <f t="shared" si="4"/>
        <v>887</v>
      </c>
      <c r="F49" s="760">
        <f>SUM(F17)</f>
        <v>57</v>
      </c>
      <c r="G49" s="1170"/>
      <c r="H49" s="1172">
        <f>SUM(C49:G49)</f>
        <v>7244</v>
      </c>
    </row>
    <row r="50" spans="1:8" ht="12" customHeight="1" x14ac:dyDescent="0.2">
      <c r="A50" s="1128" t="s">
        <v>500</v>
      </c>
      <c r="B50" s="1177" t="s">
        <v>501</v>
      </c>
      <c r="C50" s="1175"/>
      <c r="D50" s="1175"/>
      <c r="E50" s="1175"/>
      <c r="F50" s="1175"/>
      <c r="G50" s="1175"/>
      <c r="H50" s="1178"/>
    </row>
    <row r="51" spans="1:8" ht="12" customHeight="1" thickBot="1" x14ac:dyDescent="0.25">
      <c r="A51" s="449"/>
      <c r="B51" s="739" t="s">
        <v>392</v>
      </c>
      <c r="C51" s="740"/>
      <c r="D51" s="740"/>
      <c r="E51" s="740"/>
      <c r="F51" s="740"/>
      <c r="G51" s="740"/>
      <c r="H51" s="1179"/>
    </row>
    <row r="52" spans="1:8" ht="0.2" customHeight="1" x14ac:dyDescent="0.2">
      <c r="A52" s="432"/>
      <c r="B52" s="1708" t="s">
        <v>393</v>
      </c>
      <c r="C52" s="315"/>
      <c r="D52" s="315"/>
      <c r="E52" s="315"/>
      <c r="F52" s="315"/>
      <c r="G52" s="315"/>
      <c r="H52" s="768"/>
    </row>
    <row r="53" spans="1:8" ht="0.2" customHeight="1" thickBot="1" x14ac:dyDescent="0.25">
      <c r="A53" s="449"/>
      <c r="B53" s="739" t="s">
        <v>391</v>
      </c>
      <c r="C53" s="740">
        <f>SUM(C13)</f>
        <v>125</v>
      </c>
      <c r="D53" s="740">
        <f>SUM(D13)</f>
        <v>34</v>
      </c>
      <c r="E53" s="740"/>
      <c r="F53" s="740"/>
      <c r="G53" s="740"/>
      <c r="H53" s="1179">
        <f>SUM(C53:G53)</f>
        <v>159</v>
      </c>
    </row>
    <row r="54" spans="1:8" ht="12" customHeight="1" x14ac:dyDescent="0.2">
      <c r="A54" s="2003" t="s">
        <v>188</v>
      </c>
      <c r="B54" s="2004"/>
      <c r="C54" s="354"/>
      <c r="D54" s="354"/>
      <c r="E54" s="354"/>
      <c r="F54" s="354"/>
      <c r="G54" s="849"/>
      <c r="H54" s="731"/>
    </row>
    <row r="55" spans="1:8" ht="12" customHeight="1" x14ac:dyDescent="0.2">
      <c r="A55" s="734" t="s">
        <v>244</v>
      </c>
      <c r="B55" s="735" t="s">
        <v>3</v>
      </c>
      <c r="C55" s="317"/>
      <c r="D55" s="317"/>
      <c r="E55" s="317"/>
      <c r="F55" s="317"/>
      <c r="G55" s="839"/>
      <c r="H55" s="324"/>
    </row>
    <row r="56" spans="1:8" ht="12" customHeight="1" thickBot="1" x14ac:dyDescent="0.25">
      <c r="A56" s="770"/>
      <c r="B56" s="739" t="s">
        <v>392</v>
      </c>
      <c r="C56" s="740">
        <f t="shared" ref="C56:G58" si="5">C7</f>
        <v>67694</v>
      </c>
      <c r="D56" s="740">
        <f t="shared" si="5"/>
        <v>19647</v>
      </c>
      <c r="E56" s="740">
        <f t="shared" si="5"/>
        <v>32089</v>
      </c>
      <c r="F56" s="740">
        <f t="shared" si="5"/>
        <v>2100</v>
      </c>
      <c r="G56" s="840">
        <f t="shared" si="5"/>
        <v>0</v>
      </c>
      <c r="H56" s="1172">
        <f>SUM(C56:G56)</f>
        <v>121530</v>
      </c>
    </row>
    <row r="57" spans="1:8" ht="0.2" customHeight="1" x14ac:dyDescent="0.2">
      <c r="A57" s="727"/>
      <c r="B57" s="1708" t="s">
        <v>393</v>
      </c>
      <c r="C57" s="315">
        <f t="shared" si="5"/>
        <v>83587</v>
      </c>
      <c r="D57" s="315">
        <f t="shared" si="5"/>
        <v>23898</v>
      </c>
      <c r="E57" s="315">
        <f t="shared" si="5"/>
        <v>32456</v>
      </c>
      <c r="F57" s="315">
        <f t="shared" si="5"/>
        <v>2790</v>
      </c>
      <c r="G57" s="846">
        <f t="shared" si="5"/>
        <v>0</v>
      </c>
      <c r="H57" s="1715">
        <f>SUM(C57:G57)</f>
        <v>142731</v>
      </c>
    </row>
    <row r="58" spans="1:8" ht="0.2" customHeight="1" thickBot="1" x14ac:dyDescent="0.25">
      <c r="A58" s="770"/>
      <c r="B58" s="739" t="s">
        <v>391</v>
      </c>
      <c r="C58" s="740">
        <f t="shared" si="5"/>
        <v>57231</v>
      </c>
      <c r="D58" s="740">
        <f t="shared" si="5"/>
        <v>16594</v>
      </c>
      <c r="E58" s="740">
        <f t="shared" si="5"/>
        <v>20040</v>
      </c>
      <c r="F58" s="740">
        <f t="shared" si="5"/>
        <v>2795</v>
      </c>
      <c r="G58" s="840">
        <f t="shared" si="5"/>
        <v>0</v>
      </c>
      <c r="H58" s="1172">
        <f>SUM(C58:G58)</f>
        <v>96660</v>
      </c>
    </row>
    <row r="59" spans="1:8" ht="12" customHeight="1" thickBot="1" x14ac:dyDescent="0.25">
      <c r="A59" s="2011" t="s">
        <v>97</v>
      </c>
      <c r="B59" s="2012"/>
      <c r="C59" s="755"/>
      <c r="D59" s="755"/>
      <c r="E59" s="755"/>
      <c r="F59" s="755"/>
      <c r="G59" s="847"/>
      <c r="H59" s="1169"/>
    </row>
    <row r="60" spans="1:8" ht="12" customHeight="1" thickBot="1" x14ac:dyDescent="0.25">
      <c r="A60" s="1449"/>
      <c r="B60" s="748" t="s">
        <v>392</v>
      </c>
      <c r="C60" s="1714">
        <f t="shared" ref="C60:H60" si="6">C47+C56</f>
        <v>74262</v>
      </c>
      <c r="D60" s="1714">
        <f t="shared" si="6"/>
        <v>21568</v>
      </c>
      <c r="E60" s="1714">
        <f t="shared" si="6"/>
        <v>34293</v>
      </c>
      <c r="F60" s="1714">
        <f t="shared" si="6"/>
        <v>2100</v>
      </c>
      <c r="G60" s="1721">
        <f t="shared" si="6"/>
        <v>0</v>
      </c>
      <c r="H60" s="1722">
        <f t="shared" si="6"/>
        <v>132223</v>
      </c>
    </row>
    <row r="61" spans="1:8" ht="0.2" customHeight="1" x14ac:dyDescent="0.2">
      <c r="A61" s="767"/>
      <c r="B61" s="753" t="s">
        <v>393</v>
      </c>
      <c r="C61" s="754">
        <f t="shared" ref="C61:H61" si="7">C48+C57</f>
        <v>90205</v>
      </c>
      <c r="D61" s="754">
        <f t="shared" si="7"/>
        <v>25777</v>
      </c>
      <c r="E61" s="754">
        <f t="shared" si="7"/>
        <v>34649</v>
      </c>
      <c r="F61" s="754">
        <f t="shared" si="7"/>
        <v>2940</v>
      </c>
      <c r="G61" s="850">
        <f t="shared" si="7"/>
        <v>0</v>
      </c>
      <c r="H61" s="799">
        <f t="shared" si="7"/>
        <v>153571</v>
      </c>
    </row>
    <row r="62" spans="1:8" ht="0.2" customHeight="1" x14ac:dyDescent="0.2">
      <c r="A62" s="1148"/>
      <c r="B62" s="1164" t="s">
        <v>391</v>
      </c>
      <c r="C62" s="745">
        <f>C49+C58+C53</f>
        <v>62412</v>
      </c>
      <c r="D62" s="745">
        <f>D49+D58+D53</f>
        <v>17872</v>
      </c>
      <c r="E62" s="745">
        <f>E49+E58</f>
        <v>20927</v>
      </c>
      <c r="F62" s="745">
        <f>F49+F58</f>
        <v>2852</v>
      </c>
      <c r="G62" s="844">
        <f>G49+G58</f>
        <v>0</v>
      </c>
      <c r="H62" s="746">
        <f>H49+H58+H53</f>
        <v>104063</v>
      </c>
    </row>
    <row r="63" spans="1:8" ht="0.2" customHeight="1" thickBot="1" x14ac:dyDescent="0.25">
      <c r="A63" s="751"/>
      <c r="B63" s="748" t="s">
        <v>498</v>
      </c>
      <c r="C63" s="1159">
        <f>SUM(C62)/C61</f>
        <v>0.6918906934205421</v>
      </c>
      <c r="D63" s="1159">
        <f t="shared" ref="D63:H63" si="8">SUM(D62)/D61</f>
        <v>0.69333126430538849</v>
      </c>
      <c r="E63" s="1159">
        <f t="shared" si="8"/>
        <v>0.60397125458166179</v>
      </c>
      <c r="F63" s="1159">
        <f t="shared" si="8"/>
        <v>0.97006802721088436</v>
      </c>
      <c r="G63" s="1159"/>
      <c r="H63" s="1159">
        <f t="shared" si="8"/>
        <v>0.67762142592025842</v>
      </c>
    </row>
    <row r="64" spans="1:8" ht="12" customHeight="1" x14ac:dyDescent="0.2">
      <c r="A64" s="724"/>
      <c r="B64" s="725"/>
      <c r="C64" s="726"/>
      <c r="D64" s="726"/>
      <c r="E64" s="726"/>
      <c r="F64" s="726"/>
      <c r="G64" s="726"/>
      <c r="H64" s="765"/>
    </row>
    <row r="65" spans="1:8" ht="12" customHeight="1" x14ac:dyDescent="0.2">
      <c r="A65" s="724"/>
      <c r="B65" s="725"/>
      <c r="C65" s="726"/>
      <c r="D65" s="726"/>
      <c r="E65" s="726"/>
      <c r="F65" s="726"/>
      <c r="G65" s="726"/>
      <c r="H65" s="765"/>
    </row>
    <row r="66" spans="1:8" ht="7.5" customHeight="1" thickBot="1" x14ac:dyDescent="0.25">
      <c r="A66" s="175"/>
      <c r="B66" s="68"/>
      <c r="C66" s="282"/>
      <c r="D66" s="282"/>
      <c r="E66" s="282"/>
      <c r="F66" s="282"/>
      <c r="G66" s="282"/>
      <c r="H66" s="766"/>
    </row>
    <row r="67" spans="1:8" ht="29.25" customHeight="1" x14ac:dyDescent="0.2">
      <c r="A67" s="226" t="s">
        <v>96</v>
      </c>
      <c r="B67" s="104" t="s">
        <v>95</v>
      </c>
      <c r="C67" s="313" t="s">
        <v>183</v>
      </c>
      <c r="D67" s="313" t="s">
        <v>98</v>
      </c>
      <c r="E67" s="313" t="s">
        <v>308</v>
      </c>
      <c r="F67" s="224" t="s">
        <v>332</v>
      </c>
      <c r="G67" s="838"/>
      <c r="H67" s="225" t="s">
        <v>54</v>
      </c>
    </row>
    <row r="68" spans="1:8" ht="12" customHeight="1" x14ac:dyDescent="0.2">
      <c r="A68" s="2007" t="s">
        <v>184</v>
      </c>
      <c r="B68" s="2008"/>
      <c r="C68" s="363"/>
      <c r="D68" s="363"/>
      <c r="E68" s="363"/>
      <c r="F68" s="363"/>
      <c r="G68" s="851"/>
      <c r="H68" s="324"/>
    </row>
    <row r="69" spans="1:8" ht="12" customHeight="1" x14ac:dyDescent="0.2">
      <c r="A69" s="734" t="s">
        <v>305</v>
      </c>
      <c r="B69" s="743" t="s">
        <v>307</v>
      </c>
      <c r="C69" s="315"/>
      <c r="D69" s="315"/>
      <c r="E69" s="315"/>
      <c r="F69" s="325"/>
      <c r="G69" s="852"/>
      <c r="H69" s="324"/>
    </row>
    <row r="70" spans="1:8" ht="12" customHeight="1" thickBot="1" x14ac:dyDescent="0.25">
      <c r="A70" s="732"/>
      <c r="B70" s="429" t="s">
        <v>392</v>
      </c>
      <c r="C70" s="315"/>
      <c r="D70" s="315"/>
      <c r="E70" s="315">
        <f>E34</f>
        <v>117569</v>
      </c>
      <c r="F70" s="733"/>
      <c r="G70" s="853"/>
      <c r="H70" s="324">
        <f t="shared" ref="H70:H79" si="9">SUM(C70:F70)</f>
        <v>117569</v>
      </c>
    </row>
    <row r="71" spans="1:8" ht="0.2" customHeight="1" x14ac:dyDescent="0.2">
      <c r="A71" s="732"/>
      <c r="B71" s="429" t="s">
        <v>393</v>
      </c>
      <c r="C71" s="315"/>
      <c r="D71" s="315"/>
      <c r="E71" s="315">
        <f>E35</f>
        <v>138889</v>
      </c>
      <c r="F71" s="733"/>
      <c r="G71" s="853"/>
      <c r="H71" s="324">
        <f t="shared" si="9"/>
        <v>138889</v>
      </c>
    </row>
    <row r="72" spans="1:8" ht="0.2" customHeight="1" thickBot="1" x14ac:dyDescent="0.25">
      <c r="A72" s="769"/>
      <c r="B72" s="739" t="s">
        <v>391</v>
      </c>
      <c r="C72" s="771"/>
      <c r="D72" s="771"/>
      <c r="E72" s="771">
        <f>E36</f>
        <v>95669</v>
      </c>
      <c r="F72" s="1173"/>
      <c r="G72" s="1174"/>
      <c r="H72" s="761">
        <f t="shared" ref="H72" si="10">SUM(C72:F72)</f>
        <v>95669</v>
      </c>
    </row>
    <row r="73" spans="1:8" ht="12" customHeight="1" x14ac:dyDescent="0.2">
      <c r="A73" s="1128" t="s">
        <v>500</v>
      </c>
      <c r="B73" s="1177" t="s">
        <v>501</v>
      </c>
      <c r="C73" s="1175"/>
      <c r="D73" s="1175"/>
      <c r="E73" s="1175"/>
      <c r="F73" s="1175"/>
      <c r="G73" s="1175"/>
      <c r="H73" s="1178"/>
    </row>
    <row r="74" spans="1:8" ht="12" customHeight="1" thickBot="1" x14ac:dyDescent="0.25">
      <c r="A74" s="449"/>
      <c r="B74" s="739" t="s">
        <v>392</v>
      </c>
      <c r="C74" s="740"/>
      <c r="D74" s="740"/>
      <c r="E74" s="740"/>
      <c r="F74" s="740"/>
      <c r="G74" s="740"/>
      <c r="H74" s="1179"/>
    </row>
    <row r="75" spans="1:8" ht="0.2" customHeight="1" x14ac:dyDescent="0.2">
      <c r="A75" s="432"/>
      <c r="B75" s="1708" t="s">
        <v>393</v>
      </c>
      <c r="C75" s="315"/>
      <c r="D75" s="315"/>
      <c r="E75" s="315"/>
      <c r="F75" s="315"/>
      <c r="G75" s="315"/>
      <c r="H75" s="768"/>
    </row>
    <row r="76" spans="1:8" ht="0.2" customHeight="1" thickBot="1" x14ac:dyDescent="0.25">
      <c r="A76" s="449"/>
      <c r="B76" s="739" t="s">
        <v>391</v>
      </c>
      <c r="C76" s="740"/>
      <c r="D76" s="740"/>
      <c r="E76" s="740"/>
      <c r="F76" s="740">
        <f>SUM(F32)</f>
        <v>519</v>
      </c>
      <c r="G76" s="740"/>
      <c r="H76" s="1180">
        <f>SUM(F76)</f>
        <v>519</v>
      </c>
    </row>
    <row r="77" spans="1:8" ht="12" customHeight="1" x14ac:dyDescent="0.2">
      <c r="A77" s="2003" t="s">
        <v>188</v>
      </c>
      <c r="B77" s="2004"/>
      <c r="C77" s="356"/>
      <c r="D77" s="356"/>
      <c r="E77" s="356"/>
      <c r="F77" s="356"/>
      <c r="G77" s="854"/>
      <c r="H77" s="731"/>
    </row>
    <row r="78" spans="1:8" ht="12" customHeight="1" x14ac:dyDescent="0.2">
      <c r="A78" s="734" t="s">
        <v>244</v>
      </c>
      <c r="B78" s="735" t="s">
        <v>3</v>
      </c>
      <c r="C78" s="315"/>
      <c r="D78" s="315"/>
      <c r="E78" s="315"/>
      <c r="F78" s="315"/>
      <c r="G78" s="846"/>
      <c r="H78" s="324"/>
    </row>
    <row r="79" spans="1:8" ht="12" customHeight="1" thickBot="1" x14ac:dyDescent="0.25">
      <c r="A79" s="770"/>
      <c r="B79" s="739" t="s">
        <v>392</v>
      </c>
      <c r="C79" s="740">
        <f>C26</f>
        <v>100</v>
      </c>
      <c r="D79" s="740">
        <f>D26</f>
        <v>14554</v>
      </c>
      <c r="E79" s="740"/>
      <c r="F79" s="771"/>
      <c r="G79" s="1171"/>
      <c r="H79" s="761">
        <f t="shared" si="9"/>
        <v>14654</v>
      </c>
    </row>
    <row r="80" spans="1:8" ht="0.2" customHeight="1" x14ac:dyDescent="0.2">
      <c r="A80" s="727"/>
      <c r="B80" s="1708" t="s">
        <v>393</v>
      </c>
      <c r="C80" s="315">
        <f>C27</f>
        <v>100</v>
      </c>
      <c r="D80" s="315">
        <f>D27</f>
        <v>14582</v>
      </c>
      <c r="E80" s="315"/>
      <c r="F80" s="315"/>
      <c r="G80" s="846"/>
      <c r="H80" s="731">
        <f>SUM(C80:F80)</f>
        <v>14682</v>
      </c>
    </row>
    <row r="81" spans="1:8" ht="0.2" customHeight="1" thickBot="1" x14ac:dyDescent="0.25">
      <c r="A81" s="770"/>
      <c r="B81" s="739" t="s">
        <v>391</v>
      </c>
      <c r="C81" s="740"/>
      <c r="D81" s="740">
        <f>D28</f>
        <v>8790</v>
      </c>
      <c r="E81" s="740">
        <f>SUM(E28)</f>
        <v>-380</v>
      </c>
      <c r="F81" s="740"/>
      <c r="G81" s="840"/>
      <c r="H81" s="761">
        <f>SUM(C81:F81)</f>
        <v>8410</v>
      </c>
    </row>
    <row r="82" spans="1:8" ht="12" customHeight="1" x14ac:dyDescent="0.2">
      <c r="A82" s="2001" t="s">
        <v>99</v>
      </c>
      <c r="B82" s="2002"/>
      <c r="C82" s="749"/>
      <c r="D82" s="749"/>
      <c r="E82" s="749"/>
      <c r="F82" s="749"/>
      <c r="G82" s="843"/>
      <c r="H82" s="773"/>
    </row>
    <row r="83" spans="1:8" ht="12" customHeight="1" thickBot="1" x14ac:dyDescent="0.25">
      <c r="A83" s="774"/>
      <c r="B83" s="775" t="s">
        <v>392</v>
      </c>
      <c r="C83" s="1723">
        <f t="shared" ref="C83:F84" si="11">C70+C79</f>
        <v>100</v>
      </c>
      <c r="D83" s="1723">
        <f t="shared" si="11"/>
        <v>14554</v>
      </c>
      <c r="E83" s="1723">
        <f t="shared" si="11"/>
        <v>117569</v>
      </c>
      <c r="F83" s="1723">
        <f t="shared" si="11"/>
        <v>0</v>
      </c>
      <c r="G83" s="1724"/>
      <c r="H83" s="1725">
        <f>H70+H79</f>
        <v>132223</v>
      </c>
    </row>
    <row r="84" spans="1:8" ht="0.2" customHeight="1" x14ac:dyDescent="0.2">
      <c r="A84" s="1716"/>
      <c r="B84" s="1717" t="s">
        <v>393</v>
      </c>
      <c r="C84" s="1718">
        <f t="shared" si="11"/>
        <v>100</v>
      </c>
      <c r="D84" s="1718">
        <f t="shared" si="11"/>
        <v>14582</v>
      </c>
      <c r="E84" s="1718">
        <f t="shared" si="11"/>
        <v>138889</v>
      </c>
      <c r="F84" s="1718">
        <f t="shared" si="11"/>
        <v>0</v>
      </c>
      <c r="G84" s="1719"/>
      <c r="H84" s="1720">
        <f>H71+H80</f>
        <v>153571</v>
      </c>
    </row>
    <row r="85" spans="1:8" ht="0.2" customHeight="1" x14ac:dyDescent="0.2">
      <c r="A85" s="1166"/>
      <c r="B85" s="1167" t="s">
        <v>391</v>
      </c>
      <c r="C85" s="772">
        <f>C72+C81</f>
        <v>0</v>
      </c>
      <c r="D85" s="772">
        <f>D72+D81</f>
        <v>8790</v>
      </c>
      <c r="E85" s="772">
        <f>E72+E81</f>
        <v>95289</v>
      </c>
      <c r="F85" s="772">
        <f>SUM(F72+F76)</f>
        <v>519</v>
      </c>
      <c r="G85" s="855"/>
      <c r="H85" s="776">
        <f>H72+H81+H76</f>
        <v>104598</v>
      </c>
    </row>
    <row r="86" spans="1:8" ht="0.2" customHeight="1" thickBot="1" x14ac:dyDescent="0.25">
      <c r="A86" s="774"/>
      <c r="B86" s="775" t="s">
        <v>498</v>
      </c>
      <c r="C86" s="1161">
        <f>SUM(C85)/C84</f>
        <v>0</v>
      </c>
      <c r="D86" s="1161">
        <f t="shared" ref="D86:H86" si="12">SUM(D85)/D84</f>
        <v>0.60279797010012348</v>
      </c>
      <c r="E86" s="1161">
        <f t="shared" si="12"/>
        <v>0.68608025113579907</v>
      </c>
      <c r="F86" s="1161"/>
      <c r="G86" s="1161"/>
      <c r="H86" s="1161">
        <f t="shared" si="12"/>
        <v>0.68110515657253001</v>
      </c>
    </row>
    <row r="87" spans="1:8" ht="12" customHeight="1" x14ac:dyDescent="0.2">
      <c r="A87" s="4"/>
      <c r="B87" s="59"/>
      <c r="C87" s="59"/>
      <c r="D87" s="59"/>
      <c r="E87" s="59"/>
      <c r="F87" s="59"/>
      <c r="G87" s="59"/>
      <c r="H87" s="4"/>
    </row>
    <row r="88" spans="1:8" ht="12" customHeight="1" x14ac:dyDescent="0.2">
      <c r="A88" s="65"/>
      <c r="B88" s="67"/>
      <c r="C88" s="67"/>
      <c r="D88" s="67"/>
      <c r="E88" s="67"/>
      <c r="F88" s="67"/>
      <c r="G88" s="67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B1" workbookViewId="0">
      <selection activeCell="C1" sqref="C1:K15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18.5703125" style="6" customWidth="1"/>
    <col min="4" max="4" width="31.7109375" customWidth="1"/>
    <col min="5" max="6" width="0.28515625" customWidth="1"/>
    <col min="7" max="7" width="38.28515625" style="1" hidden="1" customWidth="1"/>
    <col min="8" max="8" width="35.140625" style="1" customWidth="1"/>
    <col min="9" max="9" width="22" customWidth="1"/>
    <col min="10" max="11" width="0.28515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1941" t="s">
        <v>533</v>
      </c>
      <c r="D1" s="1942"/>
      <c r="E1" s="1942"/>
      <c r="F1" s="1942"/>
      <c r="G1" s="1942"/>
      <c r="H1" s="1942"/>
      <c r="I1" s="1942"/>
      <c r="J1" s="1942"/>
      <c r="K1" s="1943"/>
      <c r="L1" s="105"/>
      <c r="M1" s="33"/>
    </row>
    <row r="2" spans="1:23" s="12" customFormat="1" ht="20.25" thickBot="1" x14ac:dyDescent="0.4">
      <c r="A2" s="34"/>
      <c r="B2" s="34"/>
      <c r="C2" s="197"/>
      <c r="D2" s="113"/>
      <c r="E2" s="113"/>
      <c r="F2" s="114"/>
      <c r="G2" s="113"/>
      <c r="H2" s="128"/>
      <c r="I2" s="115"/>
      <c r="J2" s="115"/>
      <c r="K2" s="198"/>
      <c r="L2" s="105"/>
      <c r="M2" s="33"/>
    </row>
    <row r="3" spans="1:23" ht="16.5" thickBot="1" x14ac:dyDescent="0.3">
      <c r="A3" s="6"/>
      <c r="C3" s="116"/>
      <c r="D3" s="910" t="s">
        <v>6</v>
      </c>
      <c r="E3" s="910"/>
      <c r="F3" s="117"/>
      <c r="G3" s="109"/>
      <c r="H3" s="109"/>
      <c r="I3" s="910" t="s">
        <v>111</v>
      </c>
      <c r="J3" s="910"/>
      <c r="K3" s="117"/>
      <c r="L3" s="106"/>
    </row>
    <row r="4" spans="1:23" ht="3" customHeight="1" x14ac:dyDescent="0.25">
      <c r="A4" s="6"/>
      <c r="C4" s="122"/>
      <c r="D4" s="123"/>
      <c r="E4" s="123"/>
      <c r="F4" s="124"/>
      <c r="G4" s="125"/>
      <c r="H4" s="127"/>
      <c r="I4" s="123"/>
      <c r="J4" s="650"/>
      <c r="K4" s="71"/>
      <c r="L4" s="107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920"/>
      <c r="D5" s="921" t="s">
        <v>403</v>
      </c>
      <c r="E5" s="921"/>
      <c r="F5" s="1209"/>
      <c r="G5" s="265"/>
      <c r="H5" s="924"/>
      <c r="I5" s="921" t="s">
        <v>403</v>
      </c>
      <c r="J5" s="921"/>
      <c r="K5" s="1209"/>
      <c r="L5" s="107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75" customHeight="1" x14ac:dyDescent="0.25">
      <c r="A6" s="6"/>
      <c r="C6" s="922"/>
      <c r="D6" s="917"/>
      <c r="E6" s="917"/>
      <c r="F6" s="1210"/>
      <c r="G6" s="265"/>
      <c r="H6" s="1221" t="s">
        <v>424</v>
      </c>
      <c r="I6" s="919">
        <v>200</v>
      </c>
      <c r="J6" s="919">
        <v>200</v>
      </c>
      <c r="K6" s="1212"/>
      <c r="L6" s="106"/>
      <c r="O6" s="1197"/>
      <c r="P6" s="4"/>
    </row>
    <row r="7" spans="1:23" ht="18" customHeight="1" x14ac:dyDescent="0.25">
      <c r="A7" s="6"/>
      <c r="C7" s="923"/>
      <c r="D7" s="917"/>
      <c r="E7" s="917"/>
      <c r="F7" s="1210"/>
      <c r="G7" s="265"/>
      <c r="H7" s="925" t="s">
        <v>425</v>
      </c>
      <c r="I7" s="918">
        <v>1300</v>
      </c>
      <c r="J7" s="918">
        <v>600</v>
      </c>
      <c r="K7" s="1211"/>
      <c r="L7" s="106"/>
      <c r="O7" s="1197"/>
      <c r="P7" s="4"/>
    </row>
    <row r="8" spans="1:23" ht="15.75" customHeight="1" x14ac:dyDescent="0.25">
      <c r="A8" s="6"/>
      <c r="C8" s="1222"/>
      <c r="D8" s="1223"/>
      <c r="E8" s="1223"/>
      <c r="F8" s="1224"/>
      <c r="G8" s="265"/>
      <c r="H8" s="1227" t="s">
        <v>565</v>
      </c>
      <c r="I8" s="1225">
        <v>600</v>
      </c>
      <c r="J8" s="1225"/>
      <c r="K8" s="1226">
        <v>14</v>
      </c>
      <c r="L8" s="106"/>
      <c r="O8" s="1197"/>
      <c r="P8" s="4"/>
    </row>
    <row r="9" spans="1:23" ht="12.75" customHeight="1" x14ac:dyDescent="0.25">
      <c r="A9" s="6"/>
      <c r="C9" s="1222"/>
      <c r="D9" s="1223"/>
      <c r="E9" s="1223"/>
      <c r="F9" s="1224"/>
      <c r="G9" s="265"/>
      <c r="H9" s="1216"/>
      <c r="I9" s="1225"/>
      <c r="J9" s="1225"/>
      <c r="K9" s="1226">
        <v>43</v>
      </c>
      <c r="L9" s="106"/>
      <c r="O9" s="1197"/>
      <c r="P9" s="4"/>
    </row>
    <row r="10" spans="1:23" ht="15.75" thickBot="1" x14ac:dyDescent="0.3">
      <c r="A10" s="6"/>
      <c r="C10" s="1213"/>
      <c r="D10" s="1214"/>
      <c r="E10" s="1214"/>
      <c r="F10" s="1215"/>
      <c r="G10" s="265"/>
      <c r="H10" s="1219"/>
      <c r="I10" s="1217"/>
      <c r="J10" s="1217"/>
      <c r="K10" s="1218">
        <v>24</v>
      </c>
      <c r="L10" s="106"/>
      <c r="O10" s="1197"/>
      <c r="P10" s="4"/>
    </row>
    <row r="11" spans="1:23" ht="16.5" thickBot="1" x14ac:dyDescent="0.3">
      <c r="A11" s="4"/>
      <c r="B11" s="610"/>
      <c r="C11" s="119" t="s">
        <v>54</v>
      </c>
      <c r="D11" s="649">
        <f>SUM(D6:D10)</f>
        <v>0</v>
      </c>
      <c r="E11" s="269">
        <f>SUM(E6:E10)</f>
        <v>0</v>
      </c>
      <c r="F11" s="649"/>
      <c r="G11" s="270"/>
      <c r="H11" s="912"/>
      <c r="I11" s="651">
        <f>SUM(I6:I10)</f>
        <v>2100</v>
      </c>
      <c r="J11" s="651">
        <f>SUM(J6:J10)</f>
        <v>800</v>
      </c>
      <c r="K11" s="263">
        <f>SUM(K6:K10)</f>
        <v>81</v>
      </c>
      <c r="L11" s="106"/>
      <c r="O11" s="1197"/>
      <c r="P11" s="4"/>
    </row>
    <row r="12" spans="1:23" ht="16.5" thickBot="1" x14ac:dyDescent="0.3">
      <c r="A12" s="4"/>
      <c r="B12" s="4"/>
      <c r="C12" s="270" t="s">
        <v>404</v>
      </c>
      <c r="D12" s="369"/>
      <c r="E12" s="270"/>
      <c r="F12" s="271"/>
      <c r="G12" s="271"/>
      <c r="H12" s="653"/>
      <c r="I12" s="913">
        <f>SUM(I11+D11)</f>
        <v>2100</v>
      </c>
      <c r="J12" s="914">
        <f>SUM(I11+D11)</f>
        <v>2100</v>
      </c>
      <c r="K12" s="264">
        <f>SUM(D11+I11)</f>
        <v>2100</v>
      </c>
      <c r="L12" s="106"/>
      <c r="O12" s="1197"/>
      <c r="P12" s="4"/>
    </row>
    <row r="13" spans="1:23" ht="0.2" customHeight="1" thickBot="1" x14ac:dyDescent="0.3">
      <c r="A13" s="4"/>
      <c r="B13" s="4"/>
      <c r="C13" s="270" t="s">
        <v>405</v>
      </c>
      <c r="D13" s="369"/>
      <c r="E13" s="270"/>
      <c r="F13" s="271"/>
      <c r="G13" s="271"/>
      <c r="H13" s="653"/>
      <c r="I13" s="271"/>
      <c r="J13" s="914">
        <f>SUM(J11+E11)</f>
        <v>800</v>
      </c>
      <c r="K13" s="264">
        <f>SUM(E11+J11)</f>
        <v>800</v>
      </c>
      <c r="L13" s="106"/>
      <c r="O13" s="1197"/>
      <c r="P13" s="4"/>
    </row>
    <row r="14" spans="1:23" ht="0.2" customHeight="1" thickBot="1" x14ac:dyDescent="0.3">
      <c r="A14" s="4"/>
      <c r="B14" s="4"/>
      <c r="C14" s="270" t="s">
        <v>504</v>
      </c>
      <c r="D14" s="369"/>
      <c r="E14" s="270"/>
      <c r="F14" s="271"/>
      <c r="G14" s="271"/>
      <c r="H14" s="653"/>
      <c r="I14" s="271"/>
      <c r="J14" s="914"/>
      <c r="K14" s="264">
        <f>SUM(K11+F11)</f>
        <v>81</v>
      </c>
      <c r="O14" s="4"/>
      <c r="P14" s="4"/>
    </row>
    <row r="15" spans="1:23" s="24" customFormat="1" ht="16.5" thickBot="1" x14ac:dyDescent="0.3">
      <c r="A15" s="23" t="s">
        <v>7</v>
      </c>
      <c r="B15" s="23"/>
      <c r="C15" s="4"/>
      <c r="D15"/>
      <c r="E15"/>
      <c r="F15" s="35"/>
      <c r="G15" s="36"/>
      <c r="H15" s="36"/>
      <c r="I15" s="4"/>
      <c r="J15" s="4"/>
      <c r="K15" s="1204">
        <f>SUM(K14/K13)</f>
        <v>0.10125000000000001</v>
      </c>
      <c r="L15" s="25"/>
      <c r="O15" s="1220"/>
      <c r="P15" s="1220"/>
    </row>
    <row r="16" spans="1:23" ht="15.75" x14ac:dyDescent="0.25">
      <c r="A16" s="4"/>
      <c r="B16" s="4"/>
      <c r="C16" s="23"/>
      <c r="D16" s="24"/>
      <c r="E16" s="24"/>
      <c r="F16" s="8"/>
      <c r="G16" s="5"/>
      <c r="H16" s="5"/>
      <c r="I16" s="4"/>
      <c r="J16" s="4"/>
      <c r="K16" s="4"/>
    </row>
    <row r="17" spans="1:8" x14ac:dyDescent="0.2">
      <c r="C17" s="4"/>
      <c r="D17" s="5"/>
      <c r="E17" s="5"/>
      <c r="F17" s="20"/>
      <c r="G17" s="4"/>
      <c r="H17" s="4"/>
    </row>
    <row r="18" spans="1:8" x14ac:dyDescent="0.2">
      <c r="A18" s="7"/>
      <c r="B18" s="7"/>
    </row>
    <row r="19" spans="1:8" x14ac:dyDescent="0.2">
      <c r="A19" s="9"/>
      <c r="B19" s="9"/>
      <c r="C19" s="7"/>
    </row>
    <row r="20" spans="1:8" x14ac:dyDescent="0.2">
      <c r="A20" s="9"/>
      <c r="B20" s="9"/>
      <c r="C20" s="9"/>
    </row>
    <row r="21" spans="1:8" x14ac:dyDescent="0.2">
      <c r="A21" s="9"/>
      <c r="B21" s="9"/>
      <c r="C21" s="9"/>
    </row>
    <row r="22" spans="1:8" x14ac:dyDescent="0.2">
      <c r="A22" s="9"/>
      <c r="B22" s="9"/>
      <c r="C22" s="9"/>
    </row>
    <row r="23" spans="1:8" x14ac:dyDescent="0.2">
      <c r="A23" s="9"/>
      <c r="B23" s="9"/>
      <c r="C23" s="9"/>
    </row>
    <row r="24" spans="1:8" x14ac:dyDescent="0.2">
      <c r="A24" s="9"/>
      <c r="B24" s="9"/>
      <c r="C24" s="9"/>
    </row>
    <row r="25" spans="1:8" x14ac:dyDescent="0.2">
      <c r="A25" s="9"/>
      <c r="B25" s="9"/>
      <c r="C25" s="9"/>
    </row>
    <row r="26" spans="1:8" x14ac:dyDescent="0.2">
      <c r="A26" s="9"/>
      <c r="B26" s="9"/>
      <c r="C26" s="9"/>
    </row>
    <row r="27" spans="1:8" x14ac:dyDescent="0.2">
      <c r="A27" s="9"/>
      <c r="B27" s="9"/>
      <c r="C27" s="9"/>
    </row>
    <row r="28" spans="1:8" x14ac:dyDescent="0.2">
      <c r="A28" s="9"/>
      <c r="B28" s="9"/>
      <c r="C28" s="9"/>
    </row>
    <row r="29" spans="1:8" x14ac:dyDescent="0.2">
      <c r="A29" s="9"/>
      <c r="B29" s="9"/>
      <c r="C29" s="9"/>
    </row>
    <row r="30" spans="1:8" x14ac:dyDescent="0.2">
      <c r="A30" s="9"/>
      <c r="B30" s="9"/>
      <c r="C30" s="9"/>
    </row>
    <row r="31" spans="1:8" x14ac:dyDescent="0.2">
      <c r="A31" s="9"/>
      <c r="B31" s="9"/>
      <c r="C31" s="9"/>
    </row>
    <row r="32" spans="1:8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9"/>
      <c r="B36" s="9"/>
      <c r="C36" s="9"/>
    </row>
    <row r="37" spans="1:12" x14ac:dyDescent="0.2">
      <c r="A37" s="8"/>
      <c r="B37" s="8"/>
      <c r="C37" s="9"/>
    </row>
    <row r="38" spans="1:12" x14ac:dyDescent="0.2">
      <c r="A38" s="5"/>
      <c r="B38" s="5"/>
      <c r="C38" s="8"/>
    </row>
    <row r="39" spans="1:12" x14ac:dyDescent="0.2">
      <c r="A39" s="21"/>
      <c r="B39" s="21"/>
      <c r="C39" s="5"/>
    </row>
    <row r="40" spans="1:12" x14ac:dyDescent="0.2">
      <c r="A40" s="21"/>
      <c r="B40" s="21"/>
      <c r="C40" s="21"/>
    </row>
    <row r="41" spans="1:12" x14ac:dyDescent="0.2">
      <c r="A41" s="21"/>
      <c r="B41" s="21"/>
      <c r="C41" s="21"/>
    </row>
    <row r="42" spans="1:12" s="2" customFormat="1" ht="15.75" x14ac:dyDescent="0.25">
      <c r="A42" s="22"/>
      <c r="B42" s="22"/>
      <c r="C42" s="21"/>
      <c r="D42"/>
      <c r="E42"/>
      <c r="F42"/>
      <c r="G42" s="1"/>
      <c r="H42" s="1"/>
      <c r="I42"/>
      <c r="J42"/>
      <c r="K42"/>
      <c r="L42" s="1"/>
    </row>
    <row r="43" spans="1:12" ht="15.75" x14ac:dyDescent="0.25">
      <c r="A43" s="21"/>
      <c r="B43" s="21"/>
      <c r="C43" s="22"/>
    </row>
    <row r="44" spans="1:12" x14ac:dyDescent="0.2">
      <c r="A44" s="4"/>
      <c r="B44" s="4"/>
      <c r="C44" s="21"/>
    </row>
    <row r="45" spans="1:12" x14ac:dyDescent="0.2">
      <c r="A45" s="4"/>
      <c r="B45" s="4"/>
      <c r="C45" s="4"/>
    </row>
    <row r="46" spans="1:12" x14ac:dyDescent="0.2">
      <c r="A46" s="4"/>
      <c r="B46" s="4"/>
      <c r="C46" s="4"/>
    </row>
    <row r="47" spans="1:12" x14ac:dyDescent="0.2">
      <c r="A47" s="4"/>
      <c r="B47" s="4"/>
      <c r="C47" s="4"/>
    </row>
    <row r="48" spans="1:12" x14ac:dyDescent="0.2">
      <c r="A48" s="4"/>
      <c r="B48" s="4"/>
      <c r="C48" s="4"/>
    </row>
    <row r="49" spans="1:12" x14ac:dyDescent="0.2">
      <c r="A49" s="21"/>
      <c r="B49" s="21"/>
      <c r="C49" s="4"/>
    </row>
    <row r="50" spans="1:12" x14ac:dyDescent="0.2">
      <c r="A50" s="21"/>
      <c r="B50" s="21"/>
      <c r="C50" s="21"/>
    </row>
    <row r="51" spans="1:12" ht="15.75" x14ac:dyDescent="0.25">
      <c r="A51" s="21"/>
      <c r="B51" s="21"/>
      <c r="C51" s="21"/>
      <c r="L51" s="2"/>
    </row>
    <row r="52" spans="1:12" x14ac:dyDescent="0.2">
      <c r="A52" s="21"/>
      <c r="B52" s="21"/>
      <c r="C52" s="21"/>
    </row>
    <row r="53" spans="1:12" x14ac:dyDescent="0.2">
      <c r="A53" s="21"/>
      <c r="B53" s="21"/>
      <c r="C53" s="21"/>
    </row>
    <row r="54" spans="1:12" x14ac:dyDescent="0.2">
      <c r="A54" s="6"/>
      <c r="C54" s="21"/>
    </row>
    <row r="55" spans="1:12" x14ac:dyDescent="0.2">
      <c r="A55" s="6"/>
    </row>
    <row r="56" spans="1:12" x14ac:dyDescent="0.2">
      <c r="A56" s="6"/>
    </row>
    <row r="57" spans="1:12" x14ac:dyDescent="0.2">
      <c r="A57" s="27"/>
    </row>
    <row r="58" spans="1:12" x14ac:dyDescent="0.2">
      <c r="A58" s="27"/>
      <c r="D58" s="4"/>
      <c r="E58" s="4"/>
    </row>
    <row r="59" spans="1:12" x14ac:dyDescent="0.2">
      <c r="A59" s="27"/>
      <c r="D59" s="4"/>
      <c r="E59" s="4"/>
    </row>
    <row r="60" spans="1:12" x14ac:dyDescent="0.2">
      <c r="A60" s="27"/>
      <c r="D60" s="4"/>
      <c r="E60" s="4"/>
    </row>
    <row r="61" spans="1:12" x14ac:dyDescent="0.2">
      <c r="A61" s="27"/>
      <c r="D61" s="4"/>
      <c r="E61" s="4"/>
    </row>
    <row r="62" spans="1:12" x14ac:dyDescent="0.2">
      <c r="A62" s="27"/>
      <c r="D62" s="4"/>
      <c r="E62" s="4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7"/>
      <c r="D89" s="4"/>
      <c r="E89" s="4"/>
    </row>
    <row r="90" spans="1:5" x14ac:dyDescent="0.2">
      <c r="A90" s="26"/>
      <c r="D90" s="4"/>
      <c r="E90" s="4"/>
    </row>
    <row r="91" spans="1:5" x14ac:dyDescent="0.2">
      <c r="A91" s="26"/>
      <c r="D91" s="4"/>
      <c r="E91" s="4"/>
    </row>
    <row r="92" spans="1:5" x14ac:dyDescent="0.2">
      <c r="A92" s="26"/>
      <c r="D92" s="4"/>
      <c r="E92" s="4"/>
    </row>
    <row r="93" spans="1:5" x14ac:dyDescent="0.2">
      <c r="D93" s="4"/>
      <c r="E93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J135"/>
  <sheetViews>
    <sheetView topLeftCell="A4" workbookViewId="0">
      <selection activeCell="J34" sqref="J34"/>
    </sheetView>
  </sheetViews>
  <sheetFormatPr defaultRowHeight="12.75" x14ac:dyDescent="0.2"/>
  <cols>
    <col min="1" max="1" width="12.7109375" style="436" customWidth="1"/>
    <col min="2" max="2" width="39.5703125" customWidth="1"/>
    <col min="3" max="7" width="12.7109375" customWidth="1"/>
  </cols>
  <sheetData>
    <row r="1" spans="1:8" ht="35.25" customHeight="1" thickBot="1" x14ac:dyDescent="0.3">
      <c r="A1" s="1944" t="s">
        <v>536</v>
      </c>
      <c r="B1" s="2005"/>
      <c r="C1" s="2005"/>
      <c r="D1" s="2005"/>
      <c r="E1" s="2005"/>
      <c r="F1" s="2005"/>
      <c r="G1" s="2006"/>
    </row>
    <row r="2" spans="1:8" ht="0.75" customHeight="1" x14ac:dyDescent="0.25">
      <c r="A2" s="430"/>
      <c r="B2" s="37"/>
      <c r="C2" s="4"/>
      <c r="D2" s="4"/>
      <c r="E2" s="4"/>
      <c r="F2" s="4"/>
      <c r="G2" s="71"/>
    </row>
    <row r="3" spans="1:8" ht="0.75" customHeight="1" x14ac:dyDescent="0.2">
      <c r="A3" s="431"/>
      <c r="B3" s="4"/>
      <c r="C3" s="4"/>
      <c r="D3" s="4"/>
      <c r="E3" s="4"/>
      <c r="F3" s="4"/>
      <c r="G3" s="71"/>
    </row>
    <row r="4" spans="1:8" ht="0.75" customHeight="1" x14ac:dyDescent="0.2">
      <c r="A4" s="431"/>
      <c r="B4" s="4"/>
      <c r="C4" s="4"/>
      <c r="D4" s="4"/>
      <c r="E4" s="4"/>
      <c r="F4" s="4"/>
      <c r="G4" s="71"/>
      <c r="H4" t="s">
        <v>53</v>
      </c>
    </row>
    <row r="5" spans="1:8" ht="31.5" customHeight="1" x14ac:dyDescent="0.2">
      <c r="A5" s="437" t="s">
        <v>243</v>
      </c>
      <c r="B5" s="104" t="s">
        <v>253</v>
      </c>
      <c r="C5" s="86" t="s">
        <v>58</v>
      </c>
      <c r="D5" s="86" t="s">
        <v>93</v>
      </c>
      <c r="E5" s="86" t="s">
        <v>94</v>
      </c>
      <c r="F5" s="86" t="s">
        <v>346</v>
      </c>
      <c r="G5" s="143" t="s">
        <v>54</v>
      </c>
    </row>
    <row r="6" spans="1:8" ht="12" customHeight="1" x14ac:dyDescent="0.2">
      <c r="A6" s="687" t="s">
        <v>247</v>
      </c>
      <c r="B6" s="779" t="s">
        <v>248</v>
      </c>
      <c r="C6" s="315"/>
      <c r="D6" s="315"/>
      <c r="E6" s="315"/>
      <c r="F6" s="315"/>
      <c r="G6" s="316"/>
    </row>
    <row r="7" spans="1:8" ht="12" customHeight="1" thickBot="1" x14ac:dyDescent="0.25">
      <c r="A7" s="770"/>
      <c r="B7" s="785" t="s">
        <v>413</v>
      </c>
      <c r="C7" s="771">
        <v>78798</v>
      </c>
      <c r="D7" s="771">
        <v>22103</v>
      </c>
      <c r="E7" s="771">
        <v>1220</v>
      </c>
      <c r="F7" s="771">
        <v>970</v>
      </c>
      <c r="G7" s="1731">
        <f t="shared" ref="G7:G21" si="0">SUM(C7:F7)</f>
        <v>103091</v>
      </c>
    </row>
    <row r="8" spans="1:8" ht="0.2" customHeight="1" x14ac:dyDescent="0.2">
      <c r="A8" s="432"/>
      <c r="B8" s="87" t="s">
        <v>393</v>
      </c>
      <c r="C8" s="315">
        <f>74949+30</f>
        <v>74979</v>
      </c>
      <c r="D8" s="315">
        <f>21078+8</f>
        <v>21086</v>
      </c>
      <c r="E8" s="315">
        <v>900</v>
      </c>
      <c r="F8" s="315"/>
      <c r="G8" s="801">
        <f t="shared" si="0"/>
        <v>96965</v>
      </c>
    </row>
    <row r="9" spans="1:8" ht="0.2" customHeight="1" thickBot="1" x14ac:dyDescent="0.25">
      <c r="A9" s="449"/>
      <c r="B9" s="783" t="s">
        <v>391</v>
      </c>
      <c r="C9" s="740">
        <v>57171</v>
      </c>
      <c r="D9" s="740">
        <v>16061</v>
      </c>
      <c r="E9" s="740">
        <v>1910</v>
      </c>
      <c r="F9" s="740"/>
      <c r="G9" s="802">
        <f t="shared" si="0"/>
        <v>75142</v>
      </c>
    </row>
    <row r="10" spans="1:8" ht="24" customHeight="1" x14ac:dyDescent="0.2">
      <c r="A10" s="687" t="s">
        <v>251</v>
      </c>
      <c r="B10" s="779" t="s">
        <v>414</v>
      </c>
      <c r="C10" s="315"/>
      <c r="D10" s="315"/>
      <c r="E10" s="315"/>
      <c r="F10" s="315"/>
      <c r="G10" s="801"/>
    </row>
    <row r="11" spans="1:8" ht="12" customHeight="1" thickBot="1" x14ac:dyDescent="0.25">
      <c r="A11" s="770"/>
      <c r="B11" s="785" t="s">
        <v>413</v>
      </c>
      <c r="C11" s="771"/>
      <c r="D11" s="771">
        <v>233</v>
      </c>
      <c r="E11" s="771">
        <v>864</v>
      </c>
      <c r="F11" s="771"/>
      <c r="G11" s="1731">
        <f t="shared" si="0"/>
        <v>1097</v>
      </c>
    </row>
    <row r="12" spans="1:8" ht="0.2" customHeight="1" x14ac:dyDescent="0.2">
      <c r="A12" s="432"/>
      <c r="B12" s="87" t="s">
        <v>393</v>
      </c>
      <c r="C12" s="315"/>
      <c r="D12" s="315">
        <v>233</v>
      </c>
      <c r="E12" s="315">
        <v>864</v>
      </c>
      <c r="F12" s="315"/>
      <c r="G12" s="801">
        <f t="shared" si="0"/>
        <v>1097</v>
      </c>
    </row>
    <row r="13" spans="1:8" ht="0.2" customHeight="1" thickBot="1" x14ac:dyDescent="0.25">
      <c r="A13" s="449"/>
      <c r="B13" s="783" t="s">
        <v>391</v>
      </c>
      <c r="C13" s="740"/>
      <c r="D13" s="740"/>
      <c r="E13" s="740"/>
      <c r="F13" s="740"/>
      <c r="G13" s="802">
        <f t="shared" si="0"/>
        <v>0</v>
      </c>
    </row>
    <row r="14" spans="1:8" ht="12" customHeight="1" x14ac:dyDescent="0.2">
      <c r="A14" s="687" t="s">
        <v>249</v>
      </c>
      <c r="B14" s="779" t="s">
        <v>250</v>
      </c>
      <c r="C14" s="315"/>
      <c r="D14" s="315"/>
      <c r="E14" s="315"/>
      <c r="F14" s="315"/>
      <c r="G14" s="801"/>
    </row>
    <row r="15" spans="1:8" ht="12" customHeight="1" thickBot="1" x14ac:dyDescent="0.25">
      <c r="A15" s="770"/>
      <c r="B15" s="785" t="s">
        <v>413</v>
      </c>
      <c r="C15" s="771">
        <v>2030</v>
      </c>
      <c r="D15" s="771">
        <v>636</v>
      </c>
      <c r="E15" s="771">
        <v>13487</v>
      </c>
      <c r="F15" s="771">
        <v>1107</v>
      </c>
      <c r="G15" s="1731">
        <f t="shared" si="0"/>
        <v>17260</v>
      </c>
    </row>
    <row r="16" spans="1:8" ht="0.2" customHeight="1" x14ac:dyDescent="0.2">
      <c r="A16" s="432"/>
      <c r="B16" s="87" t="s">
        <v>393</v>
      </c>
      <c r="C16" s="315">
        <v>1865</v>
      </c>
      <c r="D16" s="315">
        <v>580</v>
      </c>
      <c r="E16" s="315">
        <f>12590-154</f>
        <v>12436</v>
      </c>
      <c r="F16" s="315">
        <f>1495+154</f>
        <v>1649</v>
      </c>
      <c r="G16" s="801">
        <f t="shared" si="0"/>
        <v>16530</v>
      </c>
    </row>
    <row r="17" spans="1:8" ht="0.2" customHeight="1" thickBot="1" x14ac:dyDescent="0.25">
      <c r="A17" s="449"/>
      <c r="B17" s="783" t="s">
        <v>391</v>
      </c>
      <c r="C17" s="740">
        <v>1292</v>
      </c>
      <c r="D17" s="740">
        <v>509</v>
      </c>
      <c r="E17" s="740">
        <v>5124</v>
      </c>
      <c r="F17" s="740">
        <v>1521</v>
      </c>
      <c r="G17" s="802">
        <f t="shared" si="0"/>
        <v>8446</v>
      </c>
    </row>
    <row r="18" spans="1:8" ht="12" customHeight="1" x14ac:dyDescent="0.2">
      <c r="A18" s="687" t="s">
        <v>426</v>
      </c>
      <c r="B18" s="779" t="s">
        <v>427</v>
      </c>
      <c r="C18" s="315"/>
      <c r="D18" s="315"/>
      <c r="E18" s="315"/>
      <c r="F18" s="315"/>
      <c r="G18" s="801"/>
    </row>
    <row r="19" spans="1:8" ht="12" customHeight="1" thickBot="1" x14ac:dyDescent="0.25">
      <c r="A19" s="427"/>
      <c r="B19" s="87" t="s">
        <v>413</v>
      </c>
      <c r="C19" s="728"/>
      <c r="D19" s="728"/>
      <c r="E19" s="728">
        <v>23886</v>
      </c>
      <c r="F19" s="728"/>
      <c r="G19" s="801">
        <f t="shared" si="0"/>
        <v>23886</v>
      </c>
    </row>
    <row r="20" spans="1:8" ht="0.2" customHeight="1" x14ac:dyDescent="0.2">
      <c r="A20" s="427"/>
      <c r="B20" s="87" t="s">
        <v>393</v>
      </c>
      <c r="C20" s="317"/>
      <c r="D20" s="317"/>
      <c r="E20" s="317">
        <v>25399</v>
      </c>
      <c r="F20" s="317"/>
      <c r="G20" s="801">
        <f t="shared" si="0"/>
        <v>25399</v>
      </c>
    </row>
    <row r="21" spans="1:8" ht="0.2" customHeight="1" thickBot="1" x14ac:dyDescent="0.25">
      <c r="A21" s="449"/>
      <c r="B21" s="87" t="s">
        <v>391</v>
      </c>
      <c r="C21" s="728"/>
      <c r="D21" s="728"/>
      <c r="E21" s="728">
        <v>13844</v>
      </c>
      <c r="F21" s="728"/>
      <c r="G21" s="801">
        <f t="shared" si="0"/>
        <v>13844</v>
      </c>
    </row>
    <row r="22" spans="1:8" ht="12" customHeight="1" thickBot="1" x14ac:dyDescent="0.25">
      <c r="A22" s="2013" t="s">
        <v>97</v>
      </c>
      <c r="B22" s="2014"/>
      <c r="C22" s="803"/>
      <c r="D22" s="803"/>
      <c r="E22" s="803"/>
      <c r="F22" s="803"/>
      <c r="G22" s="804"/>
      <c r="H22" s="309"/>
    </row>
    <row r="23" spans="1:8" ht="12" customHeight="1" thickBot="1" x14ac:dyDescent="0.25">
      <c r="A23" s="1732"/>
      <c r="B23" s="800" t="s">
        <v>413</v>
      </c>
      <c r="C23" s="1714">
        <f t="shared" ref="C23:G25" si="1">C7+C11+C15+C19</f>
        <v>80828</v>
      </c>
      <c r="D23" s="1714">
        <f t="shared" si="1"/>
        <v>22972</v>
      </c>
      <c r="E23" s="1714">
        <f t="shared" si="1"/>
        <v>39457</v>
      </c>
      <c r="F23" s="1714">
        <f t="shared" si="1"/>
        <v>2077</v>
      </c>
      <c r="G23" s="1733">
        <f t="shared" si="1"/>
        <v>145334</v>
      </c>
      <c r="H23" s="309"/>
    </row>
    <row r="24" spans="1:8" ht="0.2" customHeight="1" x14ac:dyDescent="0.2">
      <c r="A24" s="1726"/>
      <c r="B24" s="798" t="s">
        <v>393</v>
      </c>
      <c r="C24" s="754">
        <f t="shared" si="1"/>
        <v>76844</v>
      </c>
      <c r="D24" s="754">
        <f t="shared" si="1"/>
        <v>21899</v>
      </c>
      <c r="E24" s="754">
        <f t="shared" si="1"/>
        <v>39599</v>
      </c>
      <c r="F24" s="754">
        <f t="shared" si="1"/>
        <v>1649</v>
      </c>
      <c r="G24" s="799">
        <f t="shared" si="1"/>
        <v>139991</v>
      </c>
      <c r="H24" s="309"/>
    </row>
    <row r="25" spans="1:8" ht="0.2" customHeight="1" x14ac:dyDescent="0.2">
      <c r="A25" s="1182"/>
      <c r="B25" s="1183" t="s">
        <v>391</v>
      </c>
      <c r="C25" s="745">
        <f t="shared" si="1"/>
        <v>58463</v>
      </c>
      <c r="D25" s="745">
        <f>D9+D13+D17+D21</f>
        <v>16570</v>
      </c>
      <c r="E25" s="745">
        <f t="shared" si="1"/>
        <v>20878</v>
      </c>
      <c r="F25" s="745">
        <f t="shared" si="1"/>
        <v>1521</v>
      </c>
      <c r="G25" s="746">
        <f>G9+G13+G17+G21</f>
        <v>97432</v>
      </c>
      <c r="H25" s="309"/>
    </row>
    <row r="26" spans="1:8" ht="0.2" customHeight="1" thickBot="1" x14ac:dyDescent="0.25">
      <c r="A26" s="1181"/>
      <c r="B26" s="800" t="s">
        <v>498</v>
      </c>
      <c r="C26" s="1159">
        <f>SUM(C25)/C24</f>
        <v>0.76080110353443342</v>
      </c>
      <c r="D26" s="1159">
        <f t="shared" ref="D26:G26" si="2">SUM(D25)/D24</f>
        <v>0.75665555504817572</v>
      </c>
      <c r="E26" s="1159">
        <f t="shared" si="2"/>
        <v>0.52723553625091546</v>
      </c>
      <c r="F26" s="1159">
        <f t="shared" si="2"/>
        <v>0.92237719830200127</v>
      </c>
      <c r="G26" s="1159">
        <f t="shared" si="2"/>
        <v>0.69598759920280584</v>
      </c>
      <c r="H26" s="309"/>
    </row>
    <row r="27" spans="1:8" ht="12" customHeight="1" x14ac:dyDescent="0.2">
      <c r="A27" s="433"/>
      <c r="B27" s="68"/>
      <c r="C27" s="282"/>
      <c r="D27" s="282"/>
      <c r="E27" s="282"/>
      <c r="F27" s="282"/>
      <c r="G27" s="298"/>
    </row>
    <row r="28" spans="1:8" ht="31.5" customHeight="1" x14ac:dyDescent="0.2">
      <c r="A28" s="437" t="s">
        <v>243</v>
      </c>
      <c r="B28" s="104" t="s">
        <v>253</v>
      </c>
      <c r="C28" s="313" t="s">
        <v>98</v>
      </c>
      <c r="D28" s="313" t="s">
        <v>100</v>
      </c>
      <c r="E28" s="313" t="s">
        <v>309</v>
      </c>
      <c r="F28" s="313"/>
      <c r="G28" s="314"/>
    </row>
    <row r="29" spans="1:8" ht="12" customHeight="1" x14ac:dyDescent="0.2">
      <c r="A29" s="780" t="s">
        <v>305</v>
      </c>
      <c r="B29" s="781" t="s">
        <v>307</v>
      </c>
      <c r="C29" s="356"/>
      <c r="D29" s="356"/>
      <c r="E29" s="356"/>
      <c r="F29" s="356"/>
      <c r="G29" s="368"/>
    </row>
    <row r="30" spans="1:8" ht="12" customHeight="1" thickBot="1" x14ac:dyDescent="0.25">
      <c r="A30" s="1734"/>
      <c r="B30" s="785" t="s">
        <v>413</v>
      </c>
      <c r="C30" s="1735"/>
      <c r="D30" s="1735"/>
      <c r="E30" s="1735">
        <f>SUM(G23-C46-D46)</f>
        <v>130945</v>
      </c>
      <c r="F30" s="1735"/>
      <c r="G30" s="1736">
        <f t="shared" ref="G30:G44" si="3">SUM(C30:F30)</f>
        <v>130945</v>
      </c>
    </row>
    <row r="31" spans="1:8" ht="0.2" customHeight="1" x14ac:dyDescent="0.2">
      <c r="A31" s="453"/>
      <c r="B31" s="87" t="s">
        <v>393</v>
      </c>
      <c r="C31" s="356"/>
      <c r="D31" s="356"/>
      <c r="E31" s="356">
        <f>124643+38</f>
        <v>124681</v>
      </c>
      <c r="F31" s="356"/>
      <c r="G31" s="805">
        <f t="shared" si="3"/>
        <v>124681</v>
      </c>
    </row>
    <row r="32" spans="1:8" ht="0.2" customHeight="1" thickBot="1" x14ac:dyDescent="0.25">
      <c r="A32" s="787"/>
      <c r="B32" s="783" t="s">
        <v>391</v>
      </c>
      <c r="C32" s="788"/>
      <c r="D32" s="788"/>
      <c r="E32" s="788">
        <v>88212</v>
      </c>
      <c r="F32" s="788"/>
      <c r="G32" s="806">
        <f t="shared" si="3"/>
        <v>88212</v>
      </c>
    </row>
    <row r="33" spans="1:10" ht="12" customHeight="1" x14ac:dyDescent="0.2">
      <c r="A33" s="687" t="s">
        <v>247</v>
      </c>
      <c r="B33" s="779" t="s">
        <v>248</v>
      </c>
      <c r="C33" s="315"/>
      <c r="D33" s="315"/>
      <c r="E33" s="315"/>
      <c r="F33" s="315"/>
      <c r="G33" s="316"/>
    </row>
    <row r="34" spans="1:10" ht="12" customHeight="1" thickBot="1" x14ac:dyDescent="0.25">
      <c r="A34" s="770"/>
      <c r="B34" s="785" t="s">
        <v>413</v>
      </c>
      <c r="C34" s="771"/>
      <c r="D34" s="771"/>
      <c r="E34" s="771"/>
      <c r="F34" s="771"/>
      <c r="G34" s="1731">
        <f t="shared" ref="G34:G36" si="4">SUM(C34:F34)</f>
        <v>0</v>
      </c>
    </row>
    <row r="35" spans="1:10" ht="0.2" customHeight="1" x14ac:dyDescent="0.2">
      <c r="A35" s="432"/>
      <c r="B35" s="87" t="s">
        <v>393</v>
      </c>
      <c r="C35" s="315"/>
      <c r="D35" s="315"/>
      <c r="E35" s="315"/>
      <c r="F35" s="315"/>
      <c r="G35" s="801">
        <f t="shared" si="4"/>
        <v>0</v>
      </c>
    </row>
    <row r="36" spans="1:10" ht="0.2" customHeight="1" thickBot="1" x14ac:dyDescent="0.25">
      <c r="A36" s="449"/>
      <c r="B36" s="783" t="s">
        <v>391</v>
      </c>
      <c r="C36" s="740"/>
      <c r="D36" s="740">
        <v>40</v>
      </c>
      <c r="E36" s="740"/>
      <c r="F36" s="740"/>
      <c r="G36" s="802">
        <f t="shared" si="4"/>
        <v>40</v>
      </c>
    </row>
    <row r="37" spans="1:10" ht="12" customHeight="1" x14ac:dyDescent="0.2">
      <c r="A37" s="687" t="s">
        <v>249</v>
      </c>
      <c r="B37" s="779" t="s">
        <v>250</v>
      </c>
      <c r="C37" s="315"/>
      <c r="D37" s="315"/>
      <c r="E37" s="315"/>
      <c r="F37" s="315"/>
      <c r="G37" s="801"/>
    </row>
    <row r="38" spans="1:10" ht="12" customHeight="1" thickBot="1" x14ac:dyDescent="0.25">
      <c r="A38" s="770"/>
      <c r="B38" s="785" t="s">
        <v>413</v>
      </c>
      <c r="C38" s="771"/>
      <c r="D38" s="771"/>
      <c r="E38" s="771"/>
      <c r="F38" s="771"/>
      <c r="G38" s="1731">
        <f t="shared" ref="G38:G40" si="5">SUM(C38:F38)</f>
        <v>0</v>
      </c>
    </row>
    <row r="39" spans="1:10" ht="0.2" customHeight="1" x14ac:dyDescent="0.2">
      <c r="A39" s="432"/>
      <c r="B39" s="87" t="s">
        <v>393</v>
      </c>
      <c r="C39" s="315"/>
      <c r="D39" s="315"/>
      <c r="E39" s="315"/>
      <c r="F39" s="315"/>
      <c r="G39" s="801">
        <f t="shared" si="5"/>
        <v>0</v>
      </c>
    </row>
    <row r="40" spans="1:10" ht="0.2" customHeight="1" thickBot="1" x14ac:dyDescent="0.25">
      <c r="A40" s="449"/>
      <c r="B40" s="783" t="s">
        <v>391</v>
      </c>
      <c r="C40" s="740">
        <v>581</v>
      </c>
      <c r="D40" s="740"/>
      <c r="E40" s="740"/>
      <c r="F40" s="740"/>
      <c r="G40" s="802">
        <f t="shared" si="5"/>
        <v>581</v>
      </c>
    </row>
    <row r="41" spans="1:10" ht="12" customHeight="1" x14ac:dyDescent="0.2">
      <c r="A41" s="687" t="s">
        <v>426</v>
      </c>
      <c r="B41" s="779" t="s">
        <v>427</v>
      </c>
      <c r="C41" s="315"/>
      <c r="D41" s="315"/>
      <c r="E41" s="315"/>
      <c r="F41" s="315"/>
      <c r="G41" s="805"/>
      <c r="H41" s="282"/>
      <c r="I41" s="4"/>
      <c r="J41" s="4"/>
    </row>
    <row r="42" spans="1:10" ht="12" customHeight="1" thickBot="1" x14ac:dyDescent="0.25">
      <c r="A42" s="727"/>
      <c r="B42" s="87" t="s">
        <v>413</v>
      </c>
      <c r="C42" s="728">
        <v>14389</v>
      </c>
      <c r="D42" s="728"/>
      <c r="E42" s="728"/>
      <c r="F42" s="728"/>
      <c r="G42" s="805">
        <f t="shared" si="3"/>
        <v>14389</v>
      </c>
      <c r="H42" s="282"/>
      <c r="I42" s="4"/>
      <c r="J42" s="4"/>
    </row>
    <row r="43" spans="1:10" ht="0.2" customHeight="1" x14ac:dyDescent="0.2">
      <c r="A43" s="727"/>
      <c r="B43" s="87" t="s">
        <v>393</v>
      </c>
      <c r="C43" s="317">
        <v>15310</v>
      </c>
      <c r="D43" s="317"/>
      <c r="E43" s="317"/>
      <c r="F43" s="317"/>
      <c r="G43" s="805">
        <f t="shared" si="3"/>
        <v>15310</v>
      </c>
      <c r="H43" s="282"/>
      <c r="I43" s="4"/>
      <c r="J43" s="4"/>
    </row>
    <row r="44" spans="1:10" ht="0.2" customHeight="1" thickBot="1" x14ac:dyDescent="0.25">
      <c r="A44" s="727"/>
      <c r="B44" s="87" t="s">
        <v>391</v>
      </c>
      <c r="C44" s="728">
        <v>8662</v>
      </c>
      <c r="D44" s="728"/>
      <c r="E44" s="728"/>
      <c r="F44" s="728"/>
      <c r="G44" s="805">
        <f t="shared" si="3"/>
        <v>8662</v>
      </c>
      <c r="H44" s="282"/>
      <c r="I44" s="4"/>
      <c r="J44" s="4"/>
    </row>
    <row r="45" spans="1:10" ht="12" customHeight="1" thickBot="1" x14ac:dyDescent="0.25">
      <c r="A45" s="2013" t="s">
        <v>99</v>
      </c>
      <c r="B45" s="2014"/>
      <c r="C45" s="803"/>
      <c r="D45" s="803"/>
      <c r="E45" s="803"/>
      <c r="F45" s="803"/>
      <c r="G45" s="786"/>
      <c r="H45" s="282"/>
      <c r="I45" s="4"/>
      <c r="J45" s="4"/>
    </row>
    <row r="46" spans="1:10" ht="12" customHeight="1" thickBot="1" x14ac:dyDescent="0.25">
      <c r="A46" s="1737"/>
      <c r="B46" s="1738" t="s">
        <v>413</v>
      </c>
      <c r="C46" s="1739">
        <f t="shared" ref="C46:G47" si="6">C30+C42</f>
        <v>14389</v>
      </c>
      <c r="D46" s="1739">
        <f t="shared" si="6"/>
        <v>0</v>
      </c>
      <c r="E46" s="1739">
        <f t="shared" si="6"/>
        <v>130945</v>
      </c>
      <c r="F46" s="1739">
        <f t="shared" si="6"/>
        <v>0</v>
      </c>
      <c r="G46" s="1740">
        <f t="shared" si="6"/>
        <v>145334</v>
      </c>
      <c r="H46" s="282"/>
      <c r="I46" s="4"/>
      <c r="J46" s="4"/>
    </row>
    <row r="47" spans="1:10" ht="0.2" customHeight="1" x14ac:dyDescent="0.2">
      <c r="A47" s="1727"/>
      <c r="B47" s="1728" t="s">
        <v>393</v>
      </c>
      <c r="C47" s="754">
        <f t="shared" si="6"/>
        <v>15310</v>
      </c>
      <c r="D47" s="754">
        <f t="shared" si="6"/>
        <v>0</v>
      </c>
      <c r="E47" s="754">
        <f t="shared" si="6"/>
        <v>124681</v>
      </c>
      <c r="F47" s="754">
        <f t="shared" si="6"/>
        <v>0</v>
      </c>
      <c r="G47" s="799">
        <f t="shared" si="6"/>
        <v>139991</v>
      </c>
      <c r="H47" s="282"/>
      <c r="I47" s="4"/>
      <c r="J47" s="4"/>
    </row>
    <row r="48" spans="1:10" ht="0.2" customHeight="1" x14ac:dyDescent="0.2">
      <c r="A48" s="1185"/>
      <c r="B48" s="791" t="s">
        <v>391</v>
      </c>
      <c r="C48" s="745">
        <f>C32+C44+C40</f>
        <v>9243</v>
      </c>
      <c r="D48" s="745">
        <f>D32+D44+D36</f>
        <v>40</v>
      </c>
      <c r="E48" s="745">
        <f>E32+E44</f>
        <v>88212</v>
      </c>
      <c r="F48" s="745">
        <f>F32+F44</f>
        <v>0</v>
      </c>
      <c r="G48" s="746">
        <f>G32+G44+G36+G40</f>
        <v>97495</v>
      </c>
      <c r="H48" s="282"/>
      <c r="I48" s="4"/>
      <c r="J48" s="4"/>
    </row>
    <row r="49" spans="1:10" ht="0.2" customHeight="1" thickBot="1" x14ac:dyDescent="0.25">
      <c r="A49" s="1186"/>
      <c r="B49" s="795" t="s">
        <v>502</v>
      </c>
      <c r="C49" s="1159">
        <f>SUM(C48)/C47</f>
        <v>0.60372305682560423</v>
      </c>
      <c r="D49" s="1159"/>
      <c r="E49" s="1159">
        <f t="shared" ref="E49:G49" si="7">SUM(E48)/E47</f>
        <v>0.7075015439401352</v>
      </c>
      <c r="F49" s="1159"/>
      <c r="G49" s="1159">
        <f t="shared" si="7"/>
        <v>0.69643762813323717</v>
      </c>
      <c r="H49" s="282"/>
      <c r="I49" s="4"/>
      <c r="J49" s="4"/>
    </row>
    <row r="50" spans="1:10" ht="12" customHeight="1" thickBot="1" x14ac:dyDescent="0.25">
      <c r="A50" s="434"/>
      <c r="B50" s="4"/>
      <c r="C50" s="4"/>
      <c r="D50" s="4"/>
      <c r="E50" s="4"/>
      <c r="F50" s="4"/>
      <c r="G50" s="4"/>
      <c r="H50" s="4"/>
      <c r="I50" s="4"/>
      <c r="J50" s="4"/>
    </row>
    <row r="51" spans="1:10" ht="35.25" customHeight="1" thickBot="1" x14ac:dyDescent="0.3">
      <c r="A51" s="1944" t="s">
        <v>537</v>
      </c>
      <c r="B51" s="2005"/>
      <c r="C51" s="2005"/>
      <c r="D51" s="2005"/>
      <c r="E51" s="2005"/>
      <c r="F51" s="2005"/>
      <c r="G51" s="2006"/>
      <c r="H51" s="4"/>
      <c r="I51" s="4"/>
      <c r="J51" s="4"/>
    </row>
    <row r="52" spans="1:10" ht="21" x14ac:dyDescent="0.2">
      <c r="A52" s="437" t="s">
        <v>243</v>
      </c>
      <c r="B52" s="104" t="s">
        <v>253</v>
      </c>
      <c r="C52" s="86" t="s">
        <v>58</v>
      </c>
      <c r="D52" s="86" t="s">
        <v>93</v>
      </c>
      <c r="E52" s="86" t="s">
        <v>94</v>
      </c>
      <c r="F52" s="86" t="s">
        <v>346</v>
      </c>
      <c r="G52" s="143" t="s">
        <v>54</v>
      </c>
      <c r="H52" s="4"/>
      <c r="I52" s="4"/>
      <c r="J52" s="4"/>
    </row>
    <row r="53" spans="1:10" x14ac:dyDescent="0.2">
      <c r="A53" s="2007" t="s">
        <v>185</v>
      </c>
      <c r="B53" s="2008"/>
      <c r="C53" s="361"/>
      <c r="D53" s="361"/>
      <c r="E53" s="361"/>
      <c r="F53" s="361"/>
      <c r="G53" s="362"/>
      <c r="H53" s="4"/>
      <c r="I53" s="4"/>
      <c r="J53" s="4"/>
    </row>
    <row r="54" spans="1:10" ht="12" customHeight="1" x14ac:dyDescent="0.2">
      <c r="A54" s="687" t="s">
        <v>247</v>
      </c>
      <c r="B54" s="779" t="s">
        <v>248</v>
      </c>
      <c r="C54" s="315"/>
      <c r="D54" s="315"/>
      <c r="E54" s="315"/>
      <c r="F54" s="315"/>
      <c r="G54" s="316"/>
      <c r="H54" s="4"/>
      <c r="I54" s="4"/>
      <c r="J54" s="4"/>
    </row>
    <row r="55" spans="1:10" ht="12" customHeight="1" thickBot="1" x14ac:dyDescent="0.25">
      <c r="A55" s="770"/>
      <c r="B55" s="785" t="s">
        <v>413</v>
      </c>
      <c r="C55" s="771">
        <f>C7</f>
        <v>78798</v>
      </c>
      <c r="D55" s="771">
        <f>D7</f>
        <v>22103</v>
      </c>
      <c r="E55" s="771">
        <f>SUM(E7)</f>
        <v>1220</v>
      </c>
      <c r="F55" s="771">
        <f>SUM(F7)</f>
        <v>970</v>
      </c>
      <c r="G55" s="1741">
        <f t="shared" ref="G55:G69" si="8">SUM(C55:F55)</f>
        <v>103091</v>
      </c>
      <c r="H55" s="4"/>
      <c r="I55" s="4"/>
      <c r="J55" s="4"/>
    </row>
    <row r="56" spans="1:10" ht="0.2" customHeight="1" x14ac:dyDescent="0.2">
      <c r="A56" s="432"/>
      <c r="B56" s="87" t="s">
        <v>393</v>
      </c>
      <c r="C56" s="315">
        <f>SUM(C8)</f>
        <v>74979</v>
      </c>
      <c r="D56" s="315">
        <f>SUM(D8)</f>
        <v>21086</v>
      </c>
      <c r="E56" s="315">
        <v>900</v>
      </c>
      <c r="F56" s="315"/>
      <c r="G56" s="316">
        <f t="shared" si="8"/>
        <v>96965</v>
      </c>
      <c r="H56" s="4"/>
      <c r="I56" s="4"/>
      <c r="J56" s="4"/>
    </row>
    <row r="57" spans="1:10" ht="0.2" customHeight="1" thickBot="1" x14ac:dyDescent="0.25">
      <c r="A57" s="449"/>
      <c r="B57" s="783" t="s">
        <v>391</v>
      </c>
      <c r="C57" s="740">
        <f>SUM(C9)</f>
        <v>57171</v>
      </c>
      <c r="D57" s="740">
        <f>SUM(D9)</f>
        <v>16061</v>
      </c>
      <c r="E57" s="740">
        <f>SUM(E9)</f>
        <v>1910</v>
      </c>
      <c r="F57" s="740"/>
      <c r="G57" s="784">
        <f t="shared" si="8"/>
        <v>75142</v>
      </c>
      <c r="H57" s="4"/>
      <c r="I57" s="4"/>
      <c r="J57" s="4"/>
    </row>
    <row r="58" spans="1:10" ht="21" customHeight="1" x14ac:dyDescent="0.2">
      <c r="A58" s="687" t="s">
        <v>251</v>
      </c>
      <c r="B58" s="779" t="s">
        <v>412</v>
      </c>
      <c r="C58" s="315"/>
      <c r="D58" s="315"/>
      <c r="E58" s="315"/>
      <c r="F58" s="315"/>
      <c r="G58" s="316"/>
      <c r="H58" s="4"/>
      <c r="I58" s="4"/>
      <c r="J58" s="4"/>
    </row>
    <row r="59" spans="1:10" ht="12" customHeight="1" thickBot="1" x14ac:dyDescent="0.25">
      <c r="A59" s="770"/>
      <c r="B59" s="785" t="s">
        <v>413</v>
      </c>
      <c r="C59" s="771"/>
      <c r="D59" s="771">
        <f>D11</f>
        <v>233</v>
      </c>
      <c r="E59" s="771">
        <f>E11</f>
        <v>864</v>
      </c>
      <c r="F59" s="771"/>
      <c r="G59" s="1741">
        <f t="shared" si="8"/>
        <v>1097</v>
      </c>
      <c r="H59" s="4"/>
      <c r="I59" s="4"/>
      <c r="J59" s="4"/>
    </row>
    <row r="60" spans="1:10" ht="0.2" customHeight="1" x14ac:dyDescent="0.2">
      <c r="A60" s="432"/>
      <c r="B60" s="87" t="s">
        <v>393</v>
      </c>
      <c r="C60" s="315"/>
      <c r="D60" s="315">
        <f>D12</f>
        <v>233</v>
      </c>
      <c r="E60" s="315">
        <f>E12</f>
        <v>864</v>
      </c>
      <c r="F60" s="315"/>
      <c r="G60" s="316">
        <f t="shared" si="8"/>
        <v>1097</v>
      </c>
      <c r="H60" s="4"/>
      <c r="I60" s="4"/>
      <c r="J60" s="4"/>
    </row>
    <row r="61" spans="1:10" ht="0.2" customHeight="1" thickBot="1" x14ac:dyDescent="0.25">
      <c r="A61" s="770"/>
      <c r="B61" s="785" t="s">
        <v>391</v>
      </c>
      <c r="C61" s="771"/>
      <c r="D61" s="771"/>
      <c r="E61" s="771"/>
      <c r="F61" s="771"/>
      <c r="G61" s="784">
        <f t="shared" si="8"/>
        <v>0</v>
      </c>
      <c r="H61" s="4"/>
      <c r="I61" s="4"/>
      <c r="J61" s="4"/>
    </row>
    <row r="62" spans="1:10" ht="12" customHeight="1" x14ac:dyDescent="0.2">
      <c r="A62" s="687" t="s">
        <v>249</v>
      </c>
      <c r="B62" s="779" t="s">
        <v>250</v>
      </c>
      <c r="C62" s="315"/>
      <c r="D62" s="315"/>
      <c r="E62" s="315"/>
      <c r="F62" s="315"/>
      <c r="G62" s="316"/>
      <c r="H62" s="4"/>
      <c r="I62" s="4"/>
      <c r="J62" s="4"/>
    </row>
    <row r="63" spans="1:10" ht="12" customHeight="1" thickBot="1" x14ac:dyDescent="0.25">
      <c r="A63" s="770"/>
      <c r="B63" s="785" t="s">
        <v>413</v>
      </c>
      <c r="C63" s="771">
        <f t="shared" ref="C63:F63" si="9">C15</f>
        <v>2030</v>
      </c>
      <c r="D63" s="771">
        <f t="shared" si="9"/>
        <v>636</v>
      </c>
      <c r="E63" s="771">
        <f t="shared" si="9"/>
        <v>13487</v>
      </c>
      <c r="F63" s="771">
        <f t="shared" si="9"/>
        <v>1107</v>
      </c>
      <c r="G63" s="1741">
        <f t="shared" si="8"/>
        <v>17260</v>
      </c>
      <c r="H63" s="4"/>
      <c r="I63" s="4"/>
      <c r="J63" s="4"/>
    </row>
    <row r="64" spans="1:10" ht="0.2" customHeight="1" x14ac:dyDescent="0.2">
      <c r="A64" s="432"/>
      <c r="B64" s="87" t="s">
        <v>393</v>
      </c>
      <c r="C64" s="315">
        <v>1865</v>
      </c>
      <c r="D64" s="315">
        <v>580</v>
      </c>
      <c r="E64" s="315">
        <f>SUM(E16)</f>
        <v>12436</v>
      </c>
      <c r="F64" s="315">
        <f>SUM(F16)</f>
        <v>1649</v>
      </c>
      <c r="G64" s="316">
        <f t="shared" si="8"/>
        <v>16530</v>
      </c>
      <c r="H64" s="4"/>
      <c r="I64" s="4"/>
      <c r="J64" s="4"/>
    </row>
    <row r="65" spans="1:10" ht="0.2" customHeight="1" thickBot="1" x14ac:dyDescent="0.25">
      <c r="A65" s="449"/>
      <c r="B65" s="783" t="s">
        <v>391</v>
      </c>
      <c r="C65" s="740">
        <f>SUM(C17)</f>
        <v>1292</v>
      </c>
      <c r="D65" s="740">
        <f>SUM(D17)</f>
        <v>509</v>
      </c>
      <c r="E65" s="740">
        <f>SUM(E17)</f>
        <v>5124</v>
      </c>
      <c r="F65" s="740">
        <f>SUM(F17)</f>
        <v>1521</v>
      </c>
      <c r="G65" s="784">
        <f>SUM(C65:F65)</f>
        <v>8446</v>
      </c>
      <c r="H65" s="4"/>
      <c r="I65" s="4"/>
      <c r="J65" s="4"/>
    </row>
    <row r="66" spans="1:10" ht="12" customHeight="1" x14ac:dyDescent="0.2">
      <c r="A66" s="687" t="s">
        <v>426</v>
      </c>
      <c r="B66" s="779" t="s">
        <v>427</v>
      </c>
      <c r="C66" s="315"/>
      <c r="D66" s="315"/>
      <c r="E66" s="315"/>
      <c r="F66" s="315"/>
      <c r="G66" s="316">
        <f t="shared" si="8"/>
        <v>0</v>
      </c>
      <c r="H66" s="4"/>
      <c r="I66" s="4"/>
      <c r="J66" s="4"/>
    </row>
    <row r="67" spans="1:10" ht="12" customHeight="1" thickBot="1" x14ac:dyDescent="0.25">
      <c r="A67" s="727"/>
      <c r="B67" s="87" t="s">
        <v>413</v>
      </c>
      <c r="C67" s="317"/>
      <c r="D67" s="317"/>
      <c r="E67" s="317">
        <f>E19</f>
        <v>23886</v>
      </c>
      <c r="F67" s="317"/>
      <c r="G67" s="1741">
        <f t="shared" si="8"/>
        <v>23886</v>
      </c>
      <c r="H67" s="4"/>
      <c r="I67" s="4"/>
      <c r="J67" s="4"/>
    </row>
    <row r="68" spans="1:10" ht="0.2" customHeight="1" x14ac:dyDescent="0.2">
      <c r="A68" s="727"/>
      <c r="B68" s="87" t="s">
        <v>393</v>
      </c>
      <c r="C68" s="317"/>
      <c r="D68" s="317"/>
      <c r="E68" s="317">
        <v>25399</v>
      </c>
      <c r="F68" s="317"/>
      <c r="G68" s="316">
        <f t="shared" si="8"/>
        <v>25399</v>
      </c>
      <c r="H68" s="4"/>
      <c r="I68" s="4"/>
      <c r="J68" s="4"/>
    </row>
    <row r="69" spans="1:10" ht="0.2" customHeight="1" thickBot="1" x14ac:dyDescent="0.25">
      <c r="A69" s="727"/>
      <c r="B69" s="87" t="s">
        <v>391</v>
      </c>
      <c r="C69" s="728"/>
      <c r="D69" s="728"/>
      <c r="E69" s="728">
        <f>SUM(E21)</f>
        <v>13844</v>
      </c>
      <c r="F69" s="728"/>
      <c r="G69" s="784">
        <f t="shared" si="8"/>
        <v>13844</v>
      </c>
      <c r="H69" s="4"/>
      <c r="I69" s="4"/>
      <c r="J69" s="4"/>
    </row>
    <row r="70" spans="1:10" ht="12" customHeight="1" x14ac:dyDescent="0.2">
      <c r="A70" s="2009" t="s">
        <v>97</v>
      </c>
      <c r="B70" s="2010"/>
      <c r="C70" s="792"/>
      <c r="D70" s="792"/>
      <c r="E70" s="792"/>
      <c r="F70" s="792"/>
      <c r="G70" s="793"/>
      <c r="H70" s="4"/>
      <c r="I70" s="4"/>
      <c r="J70" s="4"/>
    </row>
    <row r="71" spans="1:10" ht="12" customHeight="1" thickBot="1" x14ac:dyDescent="0.25">
      <c r="A71" s="794"/>
      <c r="B71" s="795" t="s">
        <v>413</v>
      </c>
      <c r="C71" s="1709">
        <f t="shared" ref="C71:G73" si="10">C55+C59+C63+C67</f>
        <v>80828</v>
      </c>
      <c r="D71" s="1709">
        <f t="shared" si="10"/>
        <v>22972</v>
      </c>
      <c r="E71" s="1709">
        <f t="shared" si="10"/>
        <v>39457</v>
      </c>
      <c r="F71" s="1709">
        <f t="shared" si="10"/>
        <v>2077</v>
      </c>
      <c r="G71" s="1711">
        <f t="shared" si="10"/>
        <v>145334</v>
      </c>
      <c r="H71" s="4"/>
      <c r="I71" s="4"/>
      <c r="J71" s="4"/>
    </row>
    <row r="72" spans="1:10" ht="0.2" customHeight="1" x14ac:dyDescent="0.2">
      <c r="A72" s="1729"/>
      <c r="B72" s="1728" t="s">
        <v>393</v>
      </c>
      <c r="C72" s="754">
        <f t="shared" si="10"/>
        <v>76844</v>
      </c>
      <c r="D72" s="754">
        <f t="shared" si="10"/>
        <v>21899</v>
      </c>
      <c r="E72" s="754">
        <f t="shared" si="10"/>
        <v>39599</v>
      </c>
      <c r="F72" s="754">
        <f t="shared" si="10"/>
        <v>1649</v>
      </c>
      <c r="G72" s="799">
        <f t="shared" si="10"/>
        <v>139991</v>
      </c>
      <c r="H72" s="4"/>
      <c r="I72" s="4"/>
      <c r="J72" s="4"/>
    </row>
    <row r="73" spans="1:10" ht="0.2" customHeight="1" x14ac:dyDescent="0.2">
      <c r="A73" s="1155"/>
      <c r="B73" s="1156" t="s">
        <v>391</v>
      </c>
      <c r="C73" s="745">
        <f t="shared" si="10"/>
        <v>58463</v>
      </c>
      <c r="D73" s="745">
        <f t="shared" si="10"/>
        <v>16570</v>
      </c>
      <c r="E73" s="745">
        <f t="shared" si="10"/>
        <v>20878</v>
      </c>
      <c r="F73" s="745">
        <f t="shared" si="10"/>
        <v>1521</v>
      </c>
      <c r="G73" s="746">
        <f>G57+G61+G65+G69</f>
        <v>97432</v>
      </c>
      <c r="H73" s="4"/>
      <c r="I73" s="4"/>
      <c r="J73" s="4"/>
    </row>
    <row r="74" spans="1:10" ht="0.2" customHeight="1" thickBot="1" x14ac:dyDescent="0.25">
      <c r="A74" s="794"/>
      <c r="B74" s="795" t="s">
        <v>502</v>
      </c>
      <c r="C74" s="1159">
        <f>SUM(C73)/C72</f>
        <v>0.76080110353443342</v>
      </c>
      <c r="D74" s="1159">
        <f t="shared" ref="D74:G74" si="11">SUM(D73)/D72</f>
        <v>0.75665555504817572</v>
      </c>
      <c r="E74" s="1159">
        <f t="shared" si="11"/>
        <v>0.52723553625091546</v>
      </c>
      <c r="F74" s="1159">
        <f t="shared" si="11"/>
        <v>0.92237719830200127</v>
      </c>
      <c r="G74" s="1159">
        <f t="shared" si="11"/>
        <v>0.69598759920280584</v>
      </c>
      <c r="H74" s="4"/>
      <c r="I74" s="4"/>
      <c r="J74" s="4"/>
    </row>
    <row r="75" spans="1:10" ht="7.5" customHeight="1" x14ac:dyDescent="0.2">
      <c r="A75" s="433"/>
      <c r="B75" s="68"/>
      <c r="C75" s="282"/>
      <c r="D75" s="282"/>
      <c r="E75" s="282"/>
      <c r="F75" s="282"/>
      <c r="G75" s="298"/>
      <c r="H75" s="4"/>
      <c r="I75" s="4"/>
      <c r="J75" s="4"/>
    </row>
    <row r="76" spans="1:10" ht="31.5" x14ac:dyDescent="0.2">
      <c r="A76" s="437" t="s">
        <v>243</v>
      </c>
      <c r="B76" s="104" t="s">
        <v>253</v>
      </c>
      <c r="C76" s="313" t="s">
        <v>98</v>
      </c>
      <c r="D76" s="313" t="s">
        <v>310</v>
      </c>
      <c r="E76" s="313" t="s">
        <v>423</v>
      </c>
      <c r="F76" s="313"/>
      <c r="G76" s="314"/>
      <c r="H76" s="4"/>
      <c r="I76" s="4"/>
      <c r="J76" s="4"/>
    </row>
    <row r="77" spans="1:10" ht="12" customHeight="1" x14ac:dyDescent="0.2">
      <c r="A77" s="2007" t="s">
        <v>185</v>
      </c>
      <c r="B77" s="2008"/>
      <c r="C77" s="363"/>
      <c r="D77" s="363"/>
      <c r="E77" s="363"/>
      <c r="F77" s="363"/>
      <c r="G77" s="364"/>
      <c r="H77" s="4"/>
      <c r="I77" s="4"/>
      <c r="J77" s="4"/>
    </row>
    <row r="78" spans="1:10" ht="12" customHeight="1" x14ac:dyDescent="0.2">
      <c r="A78" s="782" t="s">
        <v>305</v>
      </c>
      <c r="B78" s="781" t="s">
        <v>307</v>
      </c>
      <c r="C78" s="363"/>
      <c r="D78" s="356"/>
      <c r="E78" s="356"/>
      <c r="F78" s="356"/>
      <c r="G78" s="368"/>
      <c r="H78" s="4"/>
      <c r="I78" s="4"/>
      <c r="J78" s="4"/>
    </row>
    <row r="79" spans="1:10" ht="12" customHeight="1" thickBot="1" x14ac:dyDescent="0.25">
      <c r="A79" s="1742"/>
      <c r="B79" s="785" t="s">
        <v>413</v>
      </c>
      <c r="C79" s="1743"/>
      <c r="D79" s="1735">
        <f>E30</f>
        <v>130945</v>
      </c>
      <c r="E79" s="1735"/>
      <c r="F79" s="1735"/>
      <c r="G79" s="1736">
        <f>SUM(D79:F79)</f>
        <v>130945</v>
      </c>
      <c r="H79" s="4"/>
      <c r="I79" s="4"/>
      <c r="J79" s="4"/>
    </row>
    <row r="80" spans="1:10" ht="0.2" customHeight="1" x14ac:dyDescent="0.2">
      <c r="A80" s="454"/>
      <c r="B80" s="87" t="s">
        <v>393</v>
      </c>
      <c r="C80" s="363"/>
      <c r="D80" s="356">
        <f>SUM(E31)</f>
        <v>124681</v>
      </c>
      <c r="E80" s="356"/>
      <c r="F80" s="356"/>
      <c r="G80" s="805">
        <f>SUM(D80:F80)</f>
        <v>124681</v>
      </c>
      <c r="H80" s="4"/>
      <c r="I80" s="4"/>
      <c r="J80" s="4"/>
    </row>
    <row r="81" spans="1:10" ht="0.2" customHeight="1" thickBot="1" x14ac:dyDescent="0.25">
      <c r="A81" s="796"/>
      <c r="B81" s="783" t="s">
        <v>391</v>
      </c>
      <c r="C81" s="797"/>
      <c r="D81" s="788">
        <f>SUM(E32)</f>
        <v>88212</v>
      </c>
      <c r="E81" s="788"/>
      <c r="F81" s="788"/>
      <c r="G81" s="806">
        <f>SUM(D81:F81)</f>
        <v>88212</v>
      </c>
      <c r="H81" s="4"/>
      <c r="I81" s="4"/>
      <c r="J81" s="4"/>
    </row>
    <row r="82" spans="1:10" ht="12" customHeight="1" x14ac:dyDescent="0.2">
      <c r="A82" s="687" t="s">
        <v>247</v>
      </c>
      <c r="B82" s="779" t="s">
        <v>248</v>
      </c>
      <c r="C82" s="315"/>
      <c r="D82" s="315"/>
      <c r="E82" s="315"/>
      <c r="F82" s="315"/>
      <c r="G82" s="316"/>
      <c r="H82" s="4"/>
      <c r="I82" s="4"/>
      <c r="J82" s="4"/>
    </row>
    <row r="83" spans="1:10" ht="12" customHeight="1" thickBot="1" x14ac:dyDescent="0.25">
      <c r="A83" s="770"/>
      <c r="B83" s="785" t="s">
        <v>413</v>
      </c>
      <c r="C83" s="771"/>
      <c r="D83" s="771"/>
      <c r="E83" s="771"/>
      <c r="F83" s="771"/>
      <c r="G83" s="1731">
        <f t="shared" ref="G83:G85" si="12">SUM(C83:F83)</f>
        <v>0</v>
      </c>
      <c r="H83" s="4"/>
      <c r="I83" s="4"/>
      <c r="J83" s="4"/>
    </row>
    <row r="84" spans="1:10" ht="0.2" customHeight="1" x14ac:dyDescent="0.2">
      <c r="A84" s="432"/>
      <c r="B84" s="87" t="s">
        <v>393</v>
      </c>
      <c r="C84" s="315"/>
      <c r="D84" s="315"/>
      <c r="E84" s="315"/>
      <c r="F84" s="315"/>
      <c r="G84" s="801">
        <f t="shared" si="12"/>
        <v>0</v>
      </c>
      <c r="H84" s="4"/>
      <c r="I84" s="4"/>
      <c r="J84" s="4"/>
    </row>
    <row r="85" spans="1:10" ht="0.2" customHeight="1" thickBot="1" x14ac:dyDescent="0.25">
      <c r="A85" s="449"/>
      <c r="B85" s="783" t="s">
        <v>391</v>
      </c>
      <c r="C85" s="740"/>
      <c r="D85" s="740"/>
      <c r="E85" s="740">
        <v>40</v>
      </c>
      <c r="F85" s="740"/>
      <c r="G85" s="802">
        <f t="shared" si="12"/>
        <v>40</v>
      </c>
      <c r="H85" s="4"/>
      <c r="I85" s="4"/>
      <c r="J85" s="4"/>
    </row>
    <row r="86" spans="1:10" ht="12" customHeight="1" x14ac:dyDescent="0.2">
      <c r="A86" s="687" t="s">
        <v>249</v>
      </c>
      <c r="B86" s="779" t="s">
        <v>250</v>
      </c>
      <c r="C86" s="315"/>
      <c r="D86" s="315"/>
      <c r="E86" s="315"/>
      <c r="F86" s="315"/>
      <c r="G86" s="801"/>
      <c r="H86" s="4"/>
      <c r="I86" s="4"/>
      <c r="J86" s="4"/>
    </row>
    <row r="87" spans="1:10" ht="12" customHeight="1" thickBot="1" x14ac:dyDescent="0.25">
      <c r="A87" s="770"/>
      <c r="B87" s="785" t="s">
        <v>413</v>
      </c>
      <c r="C87" s="771"/>
      <c r="D87" s="771"/>
      <c r="E87" s="771"/>
      <c r="F87" s="771"/>
      <c r="G87" s="1731">
        <f t="shared" ref="G87:G89" si="13">SUM(C87:F87)</f>
        <v>0</v>
      </c>
      <c r="H87" s="4"/>
      <c r="I87" s="4"/>
      <c r="J87" s="4"/>
    </row>
    <row r="88" spans="1:10" ht="0.2" customHeight="1" x14ac:dyDescent="0.2">
      <c r="A88" s="432"/>
      <c r="B88" s="87" t="s">
        <v>393</v>
      </c>
      <c r="C88" s="315"/>
      <c r="D88" s="315"/>
      <c r="E88" s="315"/>
      <c r="F88" s="315"/>
      <c r="G88" s="801">
        <f t="shared" si="13"/>
        <v>0</v>
      </c>
      <c r="H88" s="4"/>
      <c r="I88" s="4"/>
      <c r="J88" s="4"/>
    </row>
    <row r="89" spans="1:10" ht="0.2" customHeight="1" thickBot="1" x14ac:dyDescent="0.25">
      <c r="A89" s="449"/>
      <c r="B89" s="783" t="s">
        <v>391</v>
      </c>
      <c r="C89" s="740">
        <v>581</v>
      </c>
      <c r="D89" s="740"/>
      <c r="E89" s="740"/>
      <c r="F89" s="740"/>
      <c r="G89" s="802">
        <f t="shared" si="13"/>
        <v>581</v>
      </c>
      <c r="H89" s="4"/>
      <c r="I89" s="4"/>
      <c r="J89" s="4"/>
    </row>
    <row r="90" spans="1:10" ht="12" customHeight="1" x14ac:dyDescent="0.2">
      <c r="A90" s="687" t="s">
        <v>426</v>
      </c>
      <c r="B90" s="779" t="s">
        <v>427</v>
      </c>
      <c r="C90" s="315"/>
      <c r="D90" s="315"/>
      <c r="E90" s="315"/>
      <c r="F90" s="315"/>
      <c r="G90" s="805"/>
      <c r="H90" s="4"/>
      <c r="I90" s="4"/>
      <c r="J90" s="4"/>
    </row>
    <row r="91" spans="1:10" ht="12" customHeight="1" thickBot="1" x14ac:dyDescent="0.25">
      <c r="A91" s="727"/>
      <c r="B91" s="87" t="s">
        <v>413</v>
      </c>
      <c r="C91" s="317">
        <f>C42</f>
        <v>14389</v>
      </c>
      <c r="D91" s="317"/>
      <c r="E91" s="317"/>
      <c r="F91" s="317"/>
      <c r="G91" s="1736">
        <f>SUM(C91:F91)</f>
        <v>14389</v>
      </c>
      <c r="H91" s="4"/>
      <c r="I91" s="4"/>
      <c r="J91" s="4"/>
    </row>
    <row r="92" spans="1:10" ht="0.2" customHeight="1" x14ac:dyDescent="0.2">
      <c r="A92" s="727"/>
      <c r="B92" s="87" t="s">
        <v>393</v>
      </c>
      <c r="C92" s="317">
        <v>15310</v>
      </c>
      <c r="D92" s="317"/>
      <c r="E92" s="317"/>
      <c r="F92" s="317"/>
      <c r="G92" s="805">
        <f>SUM(C92:F92)</f>
        <v>15310</v>
      </c>
      <c r="H92" s="4"/>
      <c r="I92" s="4"/>
      <c r="J92" s="4"/>
    </row>
    <row r="93" spans="1:10" ht="0.2" customHeight="1" thickBot="1" x14ac:dyDescent="0.25">
      <c r="A93" s="727"/>
      <c r="B93" s="87" t="s">
        <v>391</v>
      </c>
      <c r="C93" s="728">
        <f>SUM(C44)</f>
        <v>8662</v>
      </c>
      <c r="D93" s="728"/>
      <c r="E93" s="728"/>
      <c r="F93" s="728"/>
      <c r="G93" s="806">
        <f>SUM(C93:F93)</f>
        <v>8662</v>
      </c>
      <c r="H93" s="4"/>
      <c r="I93" s="4"/>
      <c r="J93" s="4"/>
    </row>
    <row r="94" spans="1:10" ht="12" customHeight="1" x14ac:dyDescent="0.2">
      <c r="A94" s="2009" t="s">
        <v>99</v>
      </c>
      <c r="B94" s="2010"/>
      <c r="C94" s="792"/>
      <c r="D94" s="792"/>
      <c r="E94" s="792"/>
      <c r="F94" s="792"/>
      <c r="G94" s="789"/>
      <c r="H94" s="4"/>
      <c r="I94" s="4"/>
      <c r="J94" s="4"/>
    </row>
    <row r="95" spans="1:10" ht="12" customHeight="1" thickBot="1" x14ac:dyDescent="0.25">
      <c r="A95" s="834"/>
      <c r="B95" s="795" t="s">
        <v>413</v>
      </c>
      <c r="C95" s="1723">
        <f t="shared" ref="C95:G96" si="14">C79+C91</f>
        <v>14389</v>
      </c>
      <c r="D95" s="1723">
        <f t="shared" si="14"/>
        <v>130945</v>
      </c>
      <c r="E95" s="1723">
        <f t="shared" si="14"/>
        <v>0</v>
      </c>
      <c r="F95" s="1723">
        <f t="shared" si="14"/>
        <v>0</v>
      </c>
      <c r="G95" s="1723">
        <f t="shared" si="14"/>
        <v>145334</v>
      </c>
      <c r="H95" s="4"/>
      <c r="I95" s="4"/>
      <c r="J95" s="4"/>
    </row>
    <row r="96" spans="1:10" ht="0.2" customHeight="1" x14ac:dyDescent="0.2">
      <c r="A96" s="1730"/>
      <c r="B96" s="1728" t="s">
        <v>393</v>
      </c>
      <c r="C96" s="1718">
        <f t="shared" si="14"/>
        <v>15310</v>
      </c>
      <c r="D96" s="1718">
        <f t="shared" si="14"/>
        <v>124681</v>
      </c>
      <c r="E96" s="1718">
        <f t="shared" si="14"/>
        <v>0</v>
      </c>
      <c r="F96" s="1718">
        <f t="shared" si="14"/>
        <v>0</v>
      </c>
      <c r="G96" s="1718">
        <f t="shared" si="14"/>
        <v>139991</v>
      </c>
      <c r="H96" s="4"/>
      <c r="I96" s="4"/>
      <c r="J96" s="4"/>
    </row>
    <row r="97" spans="1:10" ht="0.2" customHeight="1" x14ac:dyDescent="0.2">
      <c r="A97" s="807"/>
      <c r="B97" s="791" t="s">
        <v>391</v>
      </c>
      <c r="C97" s="772">
        <f>C81+C93+C89</f>
        <v>9243</v>
      </c>
      <c r="D97" s="772">
        <f>D81+D93</f>
        <v>88212</v>
      </c>
      <c r="E97" s="772">
        <f>E81+E93+E85</f>
        <v>40</v>
      </c>
      <c r="F97" s="772">
        <f>F81+F93</f>
        <v>0</v>
      </c>
      <c r="G97" s="772">
        <f>G81+G93+G85+G89</f>
        <v>97495</v>
      </c>
      <c r="H97" s="4"/>
      <c r="I97" s="4"/>
      <c r="J97" s="4"/>
    </row>
    <row r="98" spans="1:10" ht="0.2" customHeight="1" x14ac:dyDescent="0.2">
      <c r="A98" s="807"/>
      <c r="B98" s="791" t="s">
        <v>498</v>
      </c>
      <c r="C98" s="1184">
        <f>SUM(C97)/C96</f>
        <v>0.60372305682560423</v>
      </c>
      <c r="D98" s="1184">
        <f t="shared" ref="D98:G98" si="15">SUM(D97)/D96</f>
        <v>0.7075015439401352</v>
      </c>
      <c r="E98" s="1184"/>
      <c r="F98" s="1184"/>
      <c r="G98" s="1184">
        <f t="shared" si="15"/>
        <v>0.69643762813323717</v>
      </c>
      <c r="H98" s="4"/>
      <c r="I98" s="4"/>
      <c r="J98" s="4"/>
    </row>
    <row r="99" spans="1:10" x14ac:dyDescent="0.2">
      <c r="A99" s="434"/>
      <c r="B99" s="59"/>
      <c r="C99" s="59"/>
      <c r="D99" s="59"/>
      <c r="E99" s="59"/>
      <c r="F99" s="59"/>
      <c r="G99" s="4"/>
      <c r="H99" s="4"/>
      <c r="I99" s="4"/>
      <c r="J99" s="4"/>
    </row>
    <row r="100" spans="1:10" x14ac:dyDescent="0.2">
      <c r="A100" s="435"/>
      <c r="B100" s="66"/>
      <c r="C100" s="66"/>
      <c r="D100" s="66"/>
      <c r="E100" s="66"/>
      <c r="F100" s="66"/>
      <c r="G100" s="4"/>
      <c r="H100" s="4"/>
      <c r="I100" s="4"/>
      <c r="J100" s="4"/>
    </row>
    <row r="101" spans="1:10" x14ac:dyDescent="0.2">
      <c r="A101" s="434"/>
      <c r="B101" s="59"/>
      <c r="C101" s="59"/>
      <c r="D101" s="59"/>
      <c r="E101" s="59"/>
      <c r="F101" s="59"/>
      <c r="G101" s="4"/>
      <c r="H101" s="4"/>
      <c r="I101" s="4"/>
      <c r="J101" s="4"/>
    </row>
    <row r="102" spans="1:10" x14ac:dyDescent="0.2">
      <c r="A102" s="434"/>
      <c r="B102" s="59"/>
      <c r="C102" s="59"/>
      <c r="D102" s="59"/>
      <c r="E102" s="59"/>
      <c r="F102" s="59"/>
      <c r="G102" s="4"/>
      <c r="H102" s="4"/>
      <c r="I102" s="4"/>
      <c r="J102" s="4"/>
    </row>
    <row r="103" spans="1:10" x14ac:dyDescent="0.2">
      <c r="A103" s="435"/>
      <c r="B103" s="67"/>
      <c r="C103" s="67"/>
      <c r="D103" s="67"/>
      <c r="E103" s="67"/>
      <c r="F103" s="67"/>
      <c r="G103" s="4"/>
      <c r="H103" s="4"/>
      <c r="I103" s="4"/>
      <c r="J103" s="4"/>
    </row>
    <row r="104" spans="1:10" x14ac:dyDescent="0.2">
      <c r="A104" s="43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3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3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3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3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3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3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3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3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3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3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3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3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3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3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3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43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43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43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43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43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43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43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43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43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43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43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43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3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43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43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">
      <c r="A135" s="434"/>
      <c r="B135" s="4"/>
      <c r="C135" s="4"/>
      <c r="D135" s="4"/>
      <c r="E135" s="4"/>
      <c r="F135" s="4"/>
      <c r="G135" s="4"/>
      <c r="H135" s="4"/>
      <c r="I135" s="4"/>
      <c r="J135" s="4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B1" workbookViewId="0">
      <selection activeCell="C1" sqref="C1:K19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18" style="6" customWidth="1"/>
    <col min="4" max="4" width="32.42578125" customWidth="1"/>
    <col min="5" max="6" width="0.28515625" customWidth="1"/>
    <col min="7" max="7" width="38.28515625" style="1" hidden="1" customWidth="1"/>
    <col min="8" max="8" width="35.140625" style="1" customWidth="1"/>
    <col min="9" max="9" width="21.28515625" customWidth="1"/>
    <col min="10" max="11" width="0.28515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1941" t="s">
        <v>534</v>
      </c>
      <c r="D1" s="1942"/>
      <c r="E1" s="1942"/>
      <c r="F1" s="1942"/>
      <c r="G1" s="1942"/>
      <c r="H1" s="1942"/>
      <c r="I1" s="1942"/>
      <c r="J1" s="1942"/>
      <c r="K1" s="1943"/>
      <c r="L1" s="105"/>
      <c r="M1" s="33"/>
    </row>
    <row r="2" spans="1:23" s="12" customFormat="1" ht="20.25" thickBot="1" x14ac:dyDescent="0.4">
      <c r="A2" s="34"/>
      <c r="B2" s="34"/>
      <c r="C2" s="197"/>
      <c r="D2" s="113"/>
      <c r="E2" s="113"/>
      <c r="F2" s="114"/>
      <c r="G2" s="113"/>
      <c r="H2" s="128"/>
      <c r="I2" s="115"/>
      <c r="J2" s="115"/>
      <c r="K2" s="198"/>
      <c r="L2" s="105"/>
      <c r="M2" s="33"/>
    </row>
    <row r="3" spans="1:23" ht="16.5" thickBot="1" x14ac:dyDescent="0.3">
      <c r="A3" s="6"/>
      <c r="C3" s="116"/>
      <c r="D3" s="910" t="s">
        <v>6</v>
      </c>
      <c r="E3" s="910"/>
      <c r="F3" s="117"/>
      <c r="G3" s="109"/>
      <c r="H3" s="109"/>
      <c r="I3" s="910" t="s">
        <v>111</v>
      </c>
      <c r="J3" s="910"/>
      <c r="K3" s="117"/>
      <c r="L3" s="106"/>
    </row>
    <row r="4" spans="1:23" ht="3" customHeight="1" thickBot="1" x14ac:dyDescent="0.3">
      <c r="A4" s="6"/>
      <c r="C4" s="122"/>
      <c r="D4" s="123"/>
      <c r="E4" s="123"/>
      <c r="F4" s="124"/>
      <c r="G4" s="125"/>
      <c r="H4" s="127"/>
      <c r="I4" s="123"/>
      <c r="J4" s="650"/>
      <c r="K4" s="71"/>
      <c r="L4" s="107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2"/>
      <c r="D5" s="1034" t="s">
        <v>403</v>
      </c>
      <c r="E5" s="1034"/>
      <c r="F5" s="1035"/>
      <c r="G5" s="265"/>
      <c r="H5" s="1036"/>
      <c r="I5" s="1034" t="s">
        <v>403</v>
      </c>
      <c r="J5" s="1034"/>
      <c r="K5" s="1208"/>
      <c r="L5" s="107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x14ac:dyDescent="0.25">
      <c r="A6" s="6"/>
      <c r="C6" s="196"/>
      <c r="D6" s="274"/>
      <c r="E6" s="274"/>
      <c r="F6" s="647"/>
      <c r="G6" s="265"/>
      <c r="H6" s="1040" t="s">
        <v>553</v>
      </c>
      <c r="I6" s="373">
        <v>500</v>
      </c>
      <c r="J6" s="1206">
        <v>55</v>
      </c>
      <c r="K6" s="266">
        <v>55</v>
      </c>
      <c r="L6" s="106"/>
    </row>
    <row r="7" spans="1:23" ht="15" x14ac:dyDescent="0.25">
      <c r="A7" s="6"/>
      <c r="C7" s="196"/>
      <c r="D7" s="274"/>
      <c r="E7" s="274"/>
      <c r="F7" s="647"/>
      <c r="G7" s="265"/>
      <c r="H7" s="1040" t="s">
        <v>554</v>
      </c>
      <c r="I7" s="373">
        <v>370</v>
      </c>
      <c r="J7" s="1206">
        <v>100</v>
      </c>
      <c r="K7" s="266">
        <v>90</v>
      </c>
      <c r="L7" s="106"/>
    </row>
    <row r="8" spans="1:23" ht="15" x14ac:dyDescent="0.25">
      <c r="A8" s="6"/>
      <c r="C8" s="196"/>
      <c r="D8" s="274"/>
      <c r="E8" s="274"/>
      <c r="F8" s="647"/>
      <c r="G8" s="265"/>
      <c r="H8" s="1040" t="s">
        <v>555</v>
      </c>
      <c r="I8" s="373">
        <f>SUM(I9:I17)</f>
        <v>1207</v>
      </c>
      <c r="J8" s="1206"/>
      <c r="K8" s="266"/>
      <c r="L8" s="106"/>
    </row>
    <row r="9" spans="1:23" ht="15" x14ac:dyDescent="0.25">
      <c r="A9" s="6"/>
      <c r="C9" s="196"/>
      <c r="D9" s="274"/>
      <c r="E9" s="274"/>
      <c r="F9" s="647"/>
      <c r="G9" s="265"/>
      <c r="H9" s="1040" t="s">
        <v>556</v>
      </c>
      <c r="I9" s="1041">
        <v>110</v>
      </c>
      <c r="J9" s="1206"/>
      <c r="K9" s="266"/>
      <c r="L9" s="106"/>
    </row>
    <row r="10" spans="1:23" ht="15" x14ac:dyDescent="0.25">
      <c r="A10" s="6"/>
      <c r="C10" s="196"/>
      <c r="D10" s="274"/>
      <c r="E10" s="274"/>
      <c r="F10" s="647"/>
      <c r="G10" s="265"/>
      <c r="H10" s="1040" t="s">
        <v>557</v>
      </c>
      <c r="I10" s="1041">
        <v>69</v>
      </c>
      <c r="J10" s="1206"/>
      <c r="K10" s="266"/>
      <c r="L10" s="106"/>
    </row>
    <row r="11" spans="1:23" ht="15" x14ac:dyDescent="0.25">
      <c r="A11" s="6"/>
      <c r="C11" s="196"/>
      <c r="D11" s="274"/>
      <c r="E11" s="274"/>
      <c r="F11" s="647"/>
      <c r="G11" s="265"/>
      <c r="H11" s="1040" t="s">
        <v>558</v>
      </c>
      <c r="I11" s="1041">
        <v>48</v>
      </c>
      <c r="J11" s="1206"/>
      <c r="K11" s="266"/>
      <c r="L11" s="106"/>
    </row>
    <row r="12" spans="1:23" ht="15" x14ac:dyDescent="0.25">
      <c r="A12" s="6"/>
      <c r="C12" s="196"/>
      <c r="D12" s="274"/>
      <c r="E12" s="274"/>
      <c r="F12" s="647"/>
      <c r="G12" s="265"/>
      <c r="H12" s="947" t="s">
        <v>559</v>
      </c>
      <c r="I12" s="1037">
        <v>160</v>
      </c>
      <c r="J12" s="1206"/>
      <c r="K12" s="266"/>
      <c r="L12" s="106"/>
    </row>
    <row r="13" spans="1:23" ht="15" x14ac:dyDescent="0.25">
      <c r="A13" s="6"/>
      <c r="C13" s="196"/>
      <c r="D13" s="274"/>
      <c r="E13" s="274"/>
      <c r="F13" s="647"/>
      <c r="G13" s="265"/>
      <c r="H13" s="1003" t="s">
        <v>560</v>
      </c>
      <c r="I13" s="1038">
        <v>60</v>
      </c>
      <c r="J13" s="1206"/>
      <c r="K13" s="266"/>
      <c r="L13" s="106"/>
    </row>
    <row r="14" spans="1:23" ht="15" x14ac:dyDescent="0.25">
      <c r="A14" s="6"/>
      <c r="C14" s="196"/>
      <c r="D14" s="274"/>
      <c r="E14" s="274"/>
      <c r="F14" s="647"/>
      <c r="G14" s="265"/>
      <c r="H14" s="947" t="s">
        <v>561</v>
      </c>
      <c r="I14" s="1039">
        <v>100</v>
      </c>
      <c r="J14" s="1206"/>
      <c r="K14" s="266"/>
      <c r="L14" s="106"/>
    </row>
    <row r="15" spans="1:23" ht="15" x14ac:dyDescent="0.25">
      <c r="A15" s="6"/>
      <c r="C15" s="196"/>
      <c r="D15" s="274"/>
      <c r="E15" s="274"/>
      <c r="F15" s="647"/>
      <c r="G15" s="265"/>
      <c r="H15" s="1040" t="s">
        <v>562</v>
      </c>
      <c r="I15" s="1041">
        <v>40</v>
      </c>
      <c r="J15" s="1206"/>
      <c r="K15" s="266"/>
      <c r="L15" s="106"/>
    </row>
    <row r="16" spans="1:23" ht="15.75" thickBot="1" x14ac:dyDescent="0.3">
      <c r="A16" s="6"/>
      <c r="C16" s="196"/>
      <c r="D16" s="274"/>
      <c r="E16" s="1032"/>
      <c r="F16" s="995"/>
      <c r="G16" s="265"/>
      <c r="H16" s="1040" t="s">
        <v>563</v>
      </c>
      <c r="I16" s="1041">
        <v>120</v>
      </c>
      <c r="J16" s="1207">
        <v>154</v>
      </c>
      <c r="K16" s="268">
        <v>39</v>
      </c>
      <c r="L16" s="106"/>
    </row>
    <row r="17" spans="1:12" ht="15.75" thickBot="1" x14ac:dyDescent="0.3">
      <c r="A17" s="6"/>
      <c r="C17" s="1031"/>
      <c r="D17" s="1032"/>
      <c r="E17" s="1032"/>
      <c r="F17" s="1758"/>
      <c r="G17" s="265"/>
      <c r="H17" s="1042" t="s">
        <v>564</v>
      </c>
      <c r="I17" s="1757">
        <v>500</v>
      </c>
      <c r="J17" s="1207"/>
      <c r="K17" s="268"/>
      <c r="L17" s="106"/>
    </row>
    <row r="18" spans="1:12" ht="16.5" thickBot="1" x14ac:dyDescent="0.3">
      <c r="A18" s="4"/>
      <c r="B18" s="610"/>
      <c r="C18" s="926" t="s">
        <v>54</v>
      </c>
      <c r="D18" s="1205">
        <f>SUM(D6:D17)</f>
        <v>0</v>
      </c>
      <c r="E18" s="927" t="e">
        <f>SUM(#REF!)</f>
        <v>#REF!</v>
      </c>
      <c r="F18" s="649"/>
      <c r="G18" s="270"/>
      <c r="H18" s="652"/>
      <c r="I18" s="914">
        <f>SUM(I6:I8)</f>
        <v>2077</v>
      </c>
      <c r="J18" s="914">
        <f>SUM(J6:J16)</f>
        <v>309</v>
      </c>
      <c r="K18" s="263">
        <f>SUM(K6:K16)</f>
        <v>184</v>
      </c>
      <c r="L18" s="106"/>
    </row>
    <row r="19" spans="1:12" ht="16.5" thickBot="1" x14ac:dyDescent="0.3">
      <c r="A19" s="4"/>
      <c r="B19" s="4"/>
      <c r="C19" s="1759" t="s">
        <v>404</v>
      </c>
      <c r="D19" s="369"/>
      <c r="E19" s="270"/>
      <c r="F19" s="271"/>
      <c r="G19" s="271"/>
      <c r="H19" s="653"/>
      <c r="I19" s="913">
        <f>SUM(D18+I18)</f>
        <v>2077</v>
      </c>
      <c r="J19" s="913">
        <f>SUM(I18+D18)</f>
        <v>2077</v>
      </c>
      <c r="K19" s="264">
        <f>SUM(D18+I18)</f>
        <v>2077</v>
      </c>
      <c r="L19" s="106"/>
    </row>
    <row r="20" spans="1:12" ht="0.2" customHeight="1" thickBot="1" x14ac:dyDescent="0.3">
      <c r="A20" s="4"/>
      <c r="B20" s="4"/>
      <c r="C20" s="270" t="s">
        <v>405</v>
      </c>
      <c r="D20" s="369"/>
      <c r="E20" s="270"/>
      <c r="F20" s="271"/>
      <c r="G20" s="271"/>
      <c r="H20" s="653"/>
      <c r="I20" s="271"/>
      <c r="J20" s="913" t="e">
        <f>SUM(J18+E18)</f>
        <v>#REF!</v>
      </c>
      <c r="K20" s="264" t="e">
        <f>SUM(E18+J18)</f>
        <v>#REF!</v>
      </c>
      <c r="L20" s="106"/>
    </row>
    <row r="21" spans="1:12" ht="0.2" customHeight="1" thickBot="1" x14ac:dyDescent="0.3">
      <c r="A21" s="4"/>
      <c r="B21" s="4"/>
      <c r="C21" s="270" t="s">
        <v>504</v>
      </c>
      <c r="D21" s="369"/>
      <c r="E21" s="270"/>
      <c r="F21" s="271"/>
      <c r="G21" s="271"/>
      <c r="H21" s="653"/>
      <c r="I21" s="271"/>
      <c r="J21" s="913"/>
      <c r="K21" s="264">
        <f>SUM(K18+F18)</f>
        <v>184</v>
      </c>
    </row>
    <row r="22" spans="1:12" s="24" customFormat="1" ht="16.5" thickBot="1" x14ac:dyDescent="0.3">
      <c r="A22" s="23" t="s">
        <v>7</v>
      </c>
      <c r="B22" s="23"/>
      <c r="C22"/>
      <c r="D22"/>
      <c r="E22" s="35"/>
      <c r="F22" s="36"/>
      <c r="G22" s="36"/>
      <c r="H22" s="4"/>
      <c r="I22" s="4"/>
      <c r="J22" s="4"/>
      <c r="K22" s="1760" t="e">
        <f>SUM(K21/K20)</f>
        <v>#REF!</v>
      </c>
    </row>
    <row r="23" spans="1:12" ht="15.75" x14ac:dyDescent="0.25">
      <c r="A23" s="4"/>
      <c r="B23" s="4"/>
      <c r="C23" s="23"/>
      <c r="D23" s="24"/>
      <c r="E23" s="24"/>
      <c r="F23" s="8"/>
      <c r="G23" s="5"/>
      <c r="H23" s="5"/>
      <c r="I23" s="4"/>
      <c r="J23" s="4"/>
      <c r="K23" s="4"/>
    </row>
    <row r="24" spans="1:12" x14ac:dyDescent="0.2">
      <c r="C24" s="4"/>
      <c r="D24" s="5"/>
      <c r="E24" s="5"/>
      <c r="F24" s="20"/>
      <c r="G24" s="4"/>
      <c r="H24" s="4"/>
    </row>
    <row r="25" spans="1:12" x14ac:dyDescent="0.2">
      <c r="A25" s="7"/>
      <c r="B25" s="7"/>
    </row>
    <row r="26" spans="1:12" x14ac:dyDescent="0.2">
      <c r="A26" s="9"/>
      <c r="B26" s="9"/>
      <c r="C26" s="7"/>
    </row>
    <row r="27" spans="1:12" x14ac:dyDescent="0.2">
      <c r="A27" s="9"/>
      <c r="B27" s="9"/>
      <c r="C27" s="9"/>
    </row>
    <row r="28" spans="1:12" x14ac:dyDescent="0.2">
      <c r="A28" s="9"/>
      <c r="B28" s="9"/>
      <c r="C28" s="9"/>
    </row>
    <row r="29" spans="1:12" x14ac:dyDescent="0.2">
      <c r="A29" s="9"/>
      <c r="B29" s="9"/>
      <c r="C29" s="9"/>
    </row>
    <row r="30" spans="1:12" x14ac:dyDescent="0.2">
      <c r="A30" s="9"/>
      <c r="B30" s="9"/>
      <c r="C30" s="9"/>
    </row>
    <row r="31" spans="1:12" x14ac:dyDescent="0.2">
      <c r="A31" s="9"/>
      <c r="B31" s="9"/>
      <c r="C31" s="9"/>
    </row>
    <row r="32" spans="1:12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  <row r="39" spans="1:3" x14ac:dyDescent="0.2">
      <c r="A39" s="9"/>
      <c r="B39" s="9"/>
      <c r="C39" s="9"/>
    </row>
    <row r="40" spans="1:3" x14ac:dyDescent="0.2">
      <c r="A40" s="9"/>
      <c r="B40" s="9"/>
      <c r="C40" s="9"/>
    </row>
    <row r="41" spans="1:3" x14ac:dyDescent="0.2">
      <c r="A41" s="9"/>
      <c r="B41" s="9"/>
      <c r="C41" s="9"/>
    </row>
    <row r="42" spans="1:3" x14ac:dyDescent="0.2">
      <c r="A42" s="9"/>
      <c r="B42" s="9"/>
      <c r="C42" s="9"/>
    </row>
    <row r="43" spans="1:3" x14ac:dyDescent="0.2">
      <c r="A43" s="9"/>
      <c r="B43" s="9"/>
      <c r="C43" s="9"/>
    </row>
    <row r="44" spans="1:3" x14ac:dyDescent="0.2">
      <c r="A44" s="8"/>
      <c r="B44" s="8"/>
      <c r="C44" s="9"/>
    </row>
    <row r="45" spans="1:3" x14ac:dyDescent="0.2">
      <c r="A45" s="5"/>
      <c r="B45" s="5"/>
      <c r="C45" s="8"/>
    </row>
    <row r="46" spans="1:3" x14ac:dyDescent="0.2">
      <c r="A46" s="21"/>
      <c r="B46" s="21"/>
      <c r="C46" s="5"/>
    </row>
    <row r="47" spans="1:3" x14ac:dyDescent="0.2">
      <c r="A47" s="21"/>
      <c r="B47" s="21"/>
      <c r="C47" s="21"/>
    </row>
    <row r="48" spans="1:3" x14ac:dyDescent="0.2">
      <c r="A48" s="21"/>
      <c r="B48" s="21"/>
      <c r="C48" s="21"/>
    </row>
    <row r="49" spans="1:12" s="2" customFormat="1" ht="15.75" x14ac:dyDescent="0.25">
      <c r="A49" s="22"/>
      <c r="B49" s="22"/>
      <c r="C49" s="21"/>
      <c r="D49"/>
      <c r="E49"/>
      <c r="F49"/>
      <c r="G49" s="1"/>
      <c r="H49" s="1"/>
      <c r="I49"/>
      <c r="J49"/>
      <c r="K49"/>
      <c r="L49" s="1"/>
    </row>
    <row r="50" spans="1:12" ht="15.75" x14ac:dyDescent="0.25">
      <c r="A50" s="21"/>
      <c r="B50" s="21"/>
      <c r="C50" s="22"/>
    </row>
    <row r="51" spans="1:12" x14ac:dyDescent="0.2">
      <c r="A51" s="4"/>
      <c r="B51" s="4"/>
      <c r="C51" s="21"/>
    </row>
    <row r="52" spans="1:12" x14ac:dyDescent="0.2">
      <c r="A52" s="4"/>
      <c r="B52" s="4"/>
      <c r="C52" s="4"/>
    </row>
    <row r="53" spans="1:12" x14ac:dyDescent="0.2">
      <c r="A53" s="4"/>
      <c r="B53" s="4"/>
      <c r="C53" s="4"/>
    </row>
    <row r="54" spans="1:12" x14ac:dyDescent="0.2">
      <c r="A54" s="4"/>
      <c r="B54" s="4"/>
      <c r="C54" s="4"/>
    </row>
    <row r="55" spans="1:12" x14ac:dyDescent="0.2">
      <c r="A55" s="4"/>
      <c r="B55" s="4"/>
      <c r="C55" s="4"/>
    </row>
    <row r="56" spans="1:12" x14ac:dyDescent="0.2">
      <c r="A56" s="21"/>
      <c r="B56" s="21"/>
      <c r="C56" s="4"/>
    </row>
    <row r="57" spans="1:12" x14ac:dyDescent="0.2">
      <c r="A57" s="21"/>
      <c r="B57" s="21"/>
      <c r="C57" s="21"/>
    </row>
    <row r="58" spans="1:12" ht="15.75" x14ac:dyDescent="0.25">
      <c r="A58" s="21"/>
      <c r="B58" s="21"/>
      <c r="C58" s="21"/>
      <c r="L58" s="2"/>
    </row>
    <row r="59" spans="1:12" x14ac:dyDescent="0.2">
      <c r="A59" s="21"/>
      <c r="B59" s="21"/>
      <c r="C59" s="21"/>
    </row>
    <row r="60" spans="1:12" x14ac:dyDescent="0.2">
      <c r="A60" s="21"/>
      <c r="B60" s="21"/>
      <c r="C60" s="21"/>
    </row>
    <row r="61" spans="1:12" x14ac:dyDescent="0.2">
      <c r="A61" s="6"/>
      <c r="C61" s="21"/>
    </row>
    <row r="62" spans="1:12" x14ac:dyDescent="0.2">
      <c r="A62" s="6"/>
    </row>
    <row r="63" spans="1:12" x14ac:dyDescent="0.2">
      <c r="A63" s="6"/>
    </row>
    <row r="64" spans="1:12" x14ac:dyDescent="0.2">
      <c r="A64" s="27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7"/>
      <c r="D89" s="4"/>
      <c r="E89" s="4"/>
    </row>
    <row r="90" spans="1:5" x14ac:dyDescent="0.2">
      <c r="A90" s="27"/>
      <c r="D90" s="4"/>
      <c r="E90" s="4"/>
    </row>
    <row r="91" spans="1:5" x14ac:dyDescent="0.2">
      <c r="A91" s="27"/>
      <c r="D91" s="4"/>
      <c r="E91" s="4"/>
    </row>
    <row r="92" spans="1:5" x14ac:dyDescent="0.2">
      <c r="A92" s="27"/>
      <c r="D92" s="4"/>
      <c r="E92" s="4"/>
    </row>
    <row r="93" spans="1:5" x14ac:dyDescent="0.2">
      <c r="A93" s="27"/>
      <c r="D93" s="4"/>
      <c r="E93" s="4"/>
    </row>
    <row r="94" spans="1:5" x14ac:dyDescent="0.2">
      <c r="A94" s="27"/>
      <c r="D94" s="4"/>
      <c r="E94" s="4"/>
    </row>
    <row r="95" spans="1:5" x14ac:dyDescent="0.2">
      <c r="A95" s="27"/>
      <c r="D95" s="4"/>
      <c r="E95" s="4"/>
    </row>
    <row r="96" spans="1:5" x14ac:dyDescent="0.2">
      <c r="A96" s="27"/>
      <c r="D96" s="4"/>
      <c r="E96" s="4"/>
    </row>
    <row r="97" spans="1:5" x14ac:dyDescent="0.2">
      <c r="A97" s="26"/>
      <c r="D97" s="4"/>
      <c r="E97" s="4"/>
    </row>
    <row r="98" spans="1:5" x14ac:dyDescent="0.2">
      <c r="A98" s="26"/>
      <c r="D98" s="4"/>
      <c r="E98" s="4"/>
    </row>
    <row r="99" spans="1:5" x14ac:dyDescent="0.2">
      <c r="A99" s="26"/>
      <c r="D99" s="4"/>
      <c r="E99" s="4"/>
    </row>
    <row r="100" spans="1:5" x14ac:dyDescent="0.2">
      <c r="D100" s="4"/>
      <c r="E100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J111"/>
  <sheetViews>
    <sheetView workbookViewId="0">
      <selection sqref="A1:G71"/>
    </sheetView>
  </sheetViews>
  <sheetFormatPr defaultRowHeight="12.75" x14ac:dyDescent="0.2"/>
  <cols>
    <col min="1" max="1" width="11.5703125" style="436" customWidth="1"/>
    <col min="2" max="2" width="35.28515625" customWidth="1"/>
    <col min="3" max="7" width="12.7109375" customWidth="1"/>
    <col min="9" max="9" width="9.5703125" bestFit="1" customWidth="1"/>
  </cols>
  <sheetData>
    <row r="1" spans="1:9" ht="31.5" customHeight="1" thickBot="1" x14ac:dyDescent="0.3">
      <c r="A1" s="1944" t="s">
        <v>535</v>
      </c>
      <c r="B1" s="2005"/>
      <c r="C1" s="2005"/>
      <c r="D1" s="2005"/>
      <c r="E1" s="2005"/>
      <c r="F1" s="2005"/>
      <c r="G1" s="2006"/>
    </row>
    <row r="2" spans="1:9" ht="0.75" customHeight="1" x14ac:dyDescent="0.25">
      <c r="A2" s="430"/>
      <c r="B2" s="37"/>
      <c r="C2" s="4"/>
      <c r="D2" s="4"/>
      <c r="E2" s="4"/>
      <c r="F2" s="4"/>
      <c r="G2" s="71"/>
    </row>
    <row r="3" spans="1:9" ht="0.75" customHeight="1" x14ac:dyDescent="0.2">
      <c r="A3" s="431"/>
      <c r="B3" s="4"/>
      <c r="C3" s="4"/>
      <c r="D3" s="4"/>
      <c r="E3" s="4"/>
      <c r="F3" s="4"/>
      <c r="G3" s="71"/>
    </row>
    <row r="4" spans="1:9" ht="0.75" customHeight="1" x14ac:dyDescent="0.2">
      <c r="A4" s="431"/>
      <c r="B4" s="4"/>
      <c r="C4" s="4"/>
      <c r="D4" s="4"/>
      <c r="E4" s="4"/>
      <c r="F4" s="4"/>
      <c r="G4" s="71"/>
    </row>
    <row r="5" spans="1:9" ht="38.25" customHeight="1" x14ac:dyDescent="0.2">
      <c r="A5" s="437" t="s">
        <v>243</v>
      </c>
      <c r="B5" s="104" t="s">
        <v>253</v>
      </c>
      <c r="C5" s="86" t="s">
        <v>58</v>
      </c>
      <c r="D5" s="86" t="s">
        <v>93</v>
      </c>
      <c r="E5" s="86" t="s">
        <v>94</v>
      </c>
      <c r="F5" s="86" t="s">
        <v>416</v>
      </c>
      <c r="G5" s="143" t="s">
        <v>54</v>
      </c>
    </row>
    <row r="6" spans="1:9" ht="12" customHeight="1" x14ac:dyDescent="0.2">
      <c r="A6" s="687" t="s">
        <v>255</v>
      </c>
      <c r="B6" s="779" t="s">
        <v>101</v>
      </c>
      <c r="C6" s="315"/>
      <c r="D6" s="315"/>
      <c r="E6" s="315"/>
      <c r="F6" s="315"/>
      <c r="G6" s="316"/>
    </row>
    <row r="7" spans="1:9" ht="12" customHeight="1" thickBot="1" x14ac:dyDescent="0.25">
      <c r="A7" s="449"/>
      <c r="B7" s="783" t="s">
        <v>392</v>
      </c>
      <c r="C7" s="740">
        <v>14647</v>
      </c>
      <c r="D7" s="740">
        <v>4550</v>
      </c>
      <c r="E7" s="740">
        <v>20965</v>
      </c>
      <c r="F7" s="740">
        <v>3358</v>
      </c>
      <c r="G7" s="802">
        <f>SUM(C7:F7)</f>
        <v>43520</v>
      </c>
    </row>
    <row r="8" spans="1:9" ht="0.2" customHeight="1" x14ac:dyDescent="0.2">
      <c r="A8" s="432"/>
      <c r="B8" s="87" t="s">
        <v>393</v>
      </c>
      <c r="C8" s="315">
        <f>14213+5</f>
        <v>14218</v>
      </c>
      <c r="D8" s="315">
        <f>3680+2</f>
        <v>3682</v>
      </c>
      <c r="E8" s="315">
        <v>19764</v>
      </c>
      <c r="F8" s="315">
        <v>3950</v>
      </c>
      <c r="G8" s="801">
        <f>SUM(C8:F8)</f>
        <v>41614</v>
      </c>
    </row>
    <row r="9" spans="1:9" ht="0.2" customHeight="1" thickBot="1" x14ac:dyDescent="0.25">
      <c r="A9" s="449"/>
      <c r="B9" s="783" t="s">
        <v>391</v>
      </c>
      <c r="C9" s="740">
        <v>10912</v>
      </c>
      <c r="D9" s="740">
        <v>3525</v>
      </c>
      <c r="E9" s="740">
        <v>13389</v>
      </c>
      <c r="F9" s="740">
        <v>1550</v>
      </c>
      <c r="G9" s="802">
        <f>SUM(C9:F9)</f>
        <v>29376</v>
      </c>
    </row>
    <row r="10" spans="1:9" ht="12" customHeight="1" x14ac:dyDescent="0.2">
      <c r="A10" s="687" t="s">
        <v>254</v>
      </c>
      <c r="B10" s="779" t="s">
        <v>4</v>
      </c>
      <c r="C10" s="315"/>
      <c r="D10" s="315"/>
      <c r="E10" s="315"/>
      <c r="F10" s="315"/>
      <c r="G10" s="801"/>
    </row>
    <row r="11" spans="1:9" ht="12" customHeight="1" thickBot="1" x14ac:dyDescent="0.25">
      <c r="A11" s="727"/>
      <c r="B11" s="777" t="s">
        <v>392</v>
      </c>
      <c r="C11" s="728">
        <v>4236</v>
      </c>
      <c r="D11" s="728">
        <v>1185</v>
      </c>
      <c r="E11" s="728">
        <v>275</v>
      </c>
      <c r="F11" s="728">
        <v>1680</v>
      </c>
      <c r="G11" s="801">
        <f>SUM(C11:F11)</f>
        <v>7376</v>
      </c>
    </row>
    <row r="12" spans="1:9" ht="0.2" customHeight="1" x14ac:dyDescent="0.2">
      <c r="A12" s="808"/>
      <c r="B12" s="173" t="s">
        <v>393</v>
      </c>
      <c r="C12" s="317">
        <f>6256+13</f>
        <v>6269</v>
      </c>
      <c r="D12" s="317">
        <f>1799+3</f>
        <v>1802</v>
      </c>
      <c r="E12" s="317">
        <v>1380</v>
      </c>
      <c r="F12" s="317">
        <v>318</v>
      </c>
      <c r="G12" s="801">
        <f>SUM(C12:F12)</f>
        <v>9769</v>
      </c>
    </row>
    <row r="13" spans="1:9" ht="0.2" customHeight="1" thickBot="1" x14ac:dyDescent="0.25">
      <c r="A13" s="727"/>
      <c r="B13" s="777" t="s">
        <v>391</v>
      </c>
      <c r="C13" s="728">
        <v>4799</v>
      </c>
      <c r="D13" s="728">
        <v>1220</v>
      </c>
      <c r="E13" s="728">
        <v>349</v>
      </c>
      <c r="F13" s="728">
        <v>637</v>
      </c>
      <c r="G13" s="801">
        <f>SUM(C13:F13)</f>
        <v>7005</v>
      </c>
    </row>
    <row r="14" spans="1:9" ht="12" customHeight="1" x14ac:dyDescent="0.2">
      <c r="A14" s="2015" t="s">
        <v>97</v>
      </c>
      <c r="B14" s="2016"/>
      <c r="C14" s="792"/>
      <c r="D14" s="792"/>
      <c r="E14" s="792"/>
      <c r="F14" s="792"/>
      <c r="G14" s="813"/>
      <c r="I14" s="95"/>
    </row>
    <row r="15" spans="1:9" ht="12" customHeight="1" thickBot="1" x14ac:dyDescent="0.25">
      <c r="A15" s="794"/>
      <c r="B15" s="795" t="s">
        <v>392</v>
      </c>
      <c r="C15" s="1709">
        <f t="shared" ref="C15:G17" si="0">C7+C11</f>
        <v>18883</v>
      </c>
      <c r="D15" s="1709">
        <f t="shared" si="0"/>
        <v>5735</v>
      </c>
      <c r="E15" s="1709">
        <f t="shared" si="0"/>
        <v>21240</v>
      </c>
      <c r="F15" s="1709">
        <f t="shared" si="0"/>
        <v>5038</v>
      </c>
      <c r="G15" s="1711">
        <f t="shared" si="0"/>
        <v>50896</v>
      </c>
      <c r="I15" s="95"/>
    </row>
    <row r="16" spans="1:9" ht="0.2" customHeight="1" x14ac:dyDescent="0.2">
      <c r="A16" s="1729"/>
      <c r="B16" s="1728" t="s">
        <v>393</v>
      </c>
      <c r="C16" s="754">
        <f t="shared" si="0"/>
        <v>20487</v>
      </c>
      <c r="D16" s="754">
        <f t="shared" si="0"/>
        <v>5484</v>
      </c>
      <c r="E16" s="754">
        <f t="shared" si="0"/>
        <v>21144</v>
      </c>
      <c r="F16" s="754">
        <f t="shared" si="0"/>
        <v>4268</v>
      </c>
      <c r="G16" s="799">
        <f t="shared" si="0"/>
        <v>51383</v>
      </c>
      <c r="I16" s="95"/>
    </row>
    <row r="17" spans="1:9" ht="0.2" customHeight="1" x14ac:dyDescent="0.2">
      <c r="A17" s="1155"/>
      <c r="B17" s="1156" t="s">
        <v>391</v>
      </c>
      <c r="C17" s="745">
        <f t="shared" si="0"/>
        <v>15711</v>
      </c>
      <c r="D17" s="745">
        <f t="shared" si="0"/>
        <v>4745</v>
      </c>
      <c r="E17" s="745">
        <f t="shared" si="0"/>
        <v>13738</v>
      </c>
      <c r="F17" s="745">
        <f t="shared" si="0"/>
        <v>2187</v>
      </c>
      <c r="G17" s="746">
        <f t="shared" si="0"/>
        <v>36381</v>
      </c>
      <c r="I17" s="95"/>
    </row>
    <row r="18" spans="1:9" ht="0.2" customHeight="1" thickBot="1" x14ac:dyDescent="0.25">
      <c r="A18" s="1157"/>
      <c r="B18" s="795" t="s">
        <v>498</v>
      </c>
      <c r="C18" s="1159">
        <f>SUM(C17/C16)</f>
        <v>0.76687655586469472</v>
      </c>
      <c r="D18" s="1159">
        <f t="shared" ref="D18:G18" si="1">SUM(D17/D16)</f>
        <v>0.86524434719183074</v>
      </c>
      <c r="E18" s="1159">
        <f t="shared" si="1"/>
        <v>0.649735149451381</v>
      </c>
      <c r="F18" s="1159">
        <f t="shared" si="1"/>
        <v>0.51241799437675728</v>
      </c>
      <c r="G18" s="1160">
        <f t="shared" si="1"/>
        <v>0.70803573166222289</v>
      </c>
      <c r="I18" s="95"/>
    </row>
    <row r="19" spans="1:9" ht="16.5" customHeight="1" x14ac:dyDescent="0.2">
      <c r="A19" s="433"/>
      <c r="B19" s="68"/>
      <c r="C19" s="318"/>
      <c r="D19" s="318"/>
      <c r="E19" s="318"/>
      <c r="F19" s="318"/>
      <c r="G19" s="319"/>
    </row>
    <row r="20" spans="1:9" ht="31.5" customHeight="1" x14ac:dyDescent="0.2">
      <c r="A20" s="437" t="s">
        <v>243</v>
      </c>
      <c r="B20" s="104" t="s">
        <v>253</v>
      </c>
      <c r="C20" s="313" t="s">
        <v>98</v>
      </c>
      <c r="D20" s="313" t="s">
        <v>309</v>
      </c>
      <c r="E20" s="313" t="s">
        <v>499</v>
      </c>
      <c r="F20" s="320"/>
      <c r="G20" s="321"/>
    </row>
    <row r="21" spans="1:9" ht="12" customHeight="1" x14ac:dyDescent="0.2">
      <c r="A21" s="780" t="s">
        <v>305</v>
      </c>
      <c r="B21" s="781" t="s">
        <v>307</v>
      </c>
      <c r="C21" s="455"/>
      <c r="D21" s="356"/>
      <c r="E21" s="455"/>
      <c r="F21" s="455"/>
      <c r="G21" s="368"/>
    </row>
    <row r="22" spans="1:9" ht="12" customHeight="1" thickBot="1" x14ac:dyDescent="0.25">
      <c r="A22" s="787"/>
      <c r="B22" s="783" t="s">
        <v>392</v>
      </c>
      <c r="C22" s="809"/>
      <c r="D22" s="788">
        <f>SUM(G15-C34-E34)</f>
        <v>44191</v>
      </c>
      <c r="E22" s="809"/>
      <c r="F22" s="809"/>
      <c r="G22" s="806">
        <f>SUM(D22:F22)</f>
        <v>44191</v>
      </c>
    </row>
    <row r="23" spans="1:9" ht="0.2" customHeight="1" x14ac:dyDescent="0.2">
      <c r="A23" s="453"/>
      <c r="B23" s="87" t="s">
        <v>393</v>
      </c>
      <c r="C23" s="455"/>
      <c r="D23" s="356">
        <f>G16-C26-C30</f>
        <v>44678</v>
      </c>
      <c r="E23" s="455"/>
      <c r="F23" s="455"/>
      <c r="G23" s="805">
        <f>SUM(D23:F23)</f>
        <v>44678</v>
      </c>
    </row>
    <row r="24" spans="1:9" ht="0.2" customHeight="1" thickBot="1" x14ac:dyDescent="0.25">
      <c r="A24" s="787"/>
      <c r="B24" s="783" t="s">
        <v>391</v>
      </c>
      <c r="C24" s="809"/>
      <c r="D24" s="788">
        <v>31196</v>
      </c>
      <c r="E24" s="809"/>
      <c r="F24" s="809"/>
      <c r="G24" s="806">
        <f>SUM(D24:F24)</f>
        <v>31196</v>
      </c>
    </row>
    <row r="25" spans="1:9" ht="12" customHeight="1" x14ac:dyDescent="0.2">
      <c r="A25" s="687" t="s">
        <v>255</v>
      </c>
      <c r="B25" s="779" t="s">
        <v>101</v>
      </c>
      <c r="C25" s="315"/>
      <c r="D25" s="315"/>
      <c r="E25" s="315"/>
      <c r="F25" s="315"/>
      <c r="G25" s="805"/>
    </row>
    <row r="26" spans="1:9" ht="12" customHeight="1" thickBot="1" x14ac:dyDescent="0.25">
      <c r="A26" s="449"/>
      <c r="B26" s="783" t="s">
        <v>392</v>
      </c>
      <c r="C26" s="740">
        <v>6500</v>
      </c>
      <c r="D26" s="740"/>
      <c r="E26" s="740"/>
      <c r="F26" s="740"/>
      <c r="G26" s="806">
        <f>SUM(C26:F26)</f>
        <v>6500</v>
      </c>
    </row>
    <row r="27" spans="1:9" ht="0.2" customHeight="1" x14ac:dyDescent="0.2">
      <c r="A27" s="432"/>
      <c r="B27" s="87" t="s">
        <v>393</v>
      </c>
      <c r="C27" s="315">
        <v>6500</v>
      </c>
      <c r="D27" s="315"/>
      <c r="E27" s="315"/>
      <c r="F27" s="315"/>
      <c r="G27" s="805">
        <f>SUM(C27:F27)</f>
        <v>6500</v>
      </c>
    </row>
    <row r="28" spans="1:9" ht="0.2" customHeight="1" thickBot="1" x14ac:dyDescent="0.25">
      <c r="A28" s="449"/>
      <c r="B28" s="783" t="s">
        <v>391</v>
      </c>
      <c r="C28" s="740">
        <v>3744</v>
      </c>
      <c r="D28" s="740"/>
      <c r="E28" s="740">
        <f>366+1246</f>
        <v>1612</v>
      </c>
      <c r="F28" s="740"/>
      <c r="G28" s="806">
        <f>SUM(C28:F28)</f>
        <v>5356</v>
      </c>
    </row>
    <row r="29" spans="1:9" ht="12" customHeight="1" x14ac:dyDescent="0.2">
      <c r="A29" s="687" t="s">
        <v>254</v>
      </c>
      <c r="B29" s="779" t="s">
        <v>4</v>
      </c>
      <c r="C29" s="315"/>
      <c r="D29" s="315"/>
      <c r="E29" s="315"/>
      <c r="F29" s="315"/>
      <c r="G29" s="805"/>
    </row>
    <row r="30" spans="1:9" ht="12" customHeight="1" thickBot="1" x14ac:dyDescent="0.25">
      <c r="A30" s="727"/>
      <c r="B30" s="777" t="s">
        <v>392</v>
      </c>
      <c r="C30" s="728">
        <v>205</v>
      </c>
      <c r="D30" s="728"/>
      <c r="E30" s="728"/>
      <c r="F30" s="728"/>
      <c r="G30" s="805">
        <f>SUM(C30:F30)</f>
        <v>205</v>
      </c>
    </row>
    <row r="31" spans="1:9" ht="0.2" customHeight="1" x14ac:dyDescent="0.2">
      <c r="A31" s="808"/>
      <c r="B31" s="173" t="s">
        <v>393</v>
      </c>
      <c r="C31" s="317">
        <v>205</v>
      </c>
      <c r="D31" s="317"/>
      <c r="E31" s="317"/>
      <c r="F31" s="317"/>
      <c r="G31" s="805">
        <f>SUM(C31:F31)</f>
        <v>205</v>
      </c>
    </row>
    <row r="32" spans="1:9" ht="0.2" customHeight="1" thickBot="1" x14ac:dyDescent="0.25">
      <c r="A32" s="727"/>
      <c r="B32" s="87" t="s">
        <v>391</v>
      </c>
      <c r="C32" s="728">
        <v>178</v>
      </c>
      <c r="D32" s="728"/>
      <c r="E32" s="728">
        <v>5</v>
      </c>
      <c r="F32" s="728"/>
      <c r="G32" s="805">
        <f>SUM(C32:F32)</f>
        <v>183</v>
      </c>
    </row>
    <row r="33" spans="1:10" ht="12" customHeight="1" x14ac:dyDescent="0.2">
      <c r="A33" s="2015" t="s">
        <v>99</v>
      </c>
      <c r="B33" s="2016"/>
      <c r="C33" s="792"/>
      <c r="D33" s="792"/>
      <c r="E33" s="792"/>
      <c r="F33" s="792"/>
      <c r="G33" s="810"/>
      <c r="H33" s="4"/>
      <c r="I33" s="159"/>
      <c r="J33" s="4"/>
    </row>
    <row r="34" spans="1:10" ht="12" customHeight="1" thickBot="1" x14ac:dyDescent="0.25">
      <c r="A34" s="794"/>
      <c r="B34" s="795" t="s">
        <v>392</v>
      </c>
      <c r="C34" s="1709">
        <f t="shared" ref="C34:G36" si="2">C22+C26+C30</f>
        <v>6705</v>
      </c>
      <c r="D34" s="1709">
        <f t="shared" si="2"/>
        <v>44191</v>
      </c>
      <c r="E34" s="1709">
        <f t="shared" si="2"/>
        <v>0</v>
      </c>
      <c r="F34" s="1709">
        <f t="shared" si="2"/>
        <v>0</v>
      </c>
      <c r="G34" s="1711">
        <f t="shared" si="2"/>
        <v>50896</v>
      </c>
      <c r="H34" s="4"/>
      <c r="I34" s="159"/>
      <c r="J34" s="4"/>
    </row>
    <row r="35" spans="1:10" ht="0.2" customHeight="1" x14ac:dyDescent="0.2">
      <c r="A35" s="1729"/>
      <c r="B35" s="1728" t="s">
        <v>393</v>
      </c>
      <c r="C35" s="754">
        <f t="shared" si="2"/>
        <v>6705</v>
      </c>
      <c r="D35" s="754">
        <f t="shared" si="2"/>
        <v>44678</v>
      </c>
      <c r="E35" s="754">
        <f t="shared" si="2"/>
        <v>0</v>
      </c>
      <c r="F35" s="754">
        <f t="shared" si="2"/>
        <v>0</v>
      </c>
      <c r="G35" s="799">
        <f t="shared" si="2"/>
        <v>51383</v>
      </c>
      <c r="H35" s="4"/>
      <c r="I35" s="159"/>
      <c r="J35" s="4"/>
    </row>
    <row r="36" spans="1:10" ht="0.2" customHeight="1" x14ac:dyDescent="0.2">
      <c r="A36" s="1155"/>
      <c r="B36" s="1156" t="s">
        <v>391</v>
      </c>
      <c r="C36" s="745">
        <f t="shared" si="2"/>
        <v>3922</v>
      </c>
      <c r="D36" s="745">
        <f t="shared" si="2"/>
        <v>31196</v>
      </c>
      <c r="E36" s="745">
        <f t="shared" si="2"/>
        <v>1617</v>
      </c>
      <c r="F36" s="745">
        <f t="shared" si="2"/>
        <v>0</v>
      </c>
      <c r="G36" s="746">
        <f t="shared" si="2"/>
        <v>36735</v>
      </c>
      <c r="H36" s="4"/>
      <c r="I36" s="159"/>
      <c r="J36" s="4"/>
    </row>
    <row r="37" spans="1:10" ht="0.2" customHeight="1" thickBot="1" x14ac:dyDescent="0.25">
      <c r="A37" s="812"/>
      <c r="B37" s="795" t="s">
        <v>498</v>
      </c>
      <c r="C37" s="1159">
        <f>SUM(C36)/C35</f>
        <v>0.58493661446681577</v>
      </c>
      <c r="D37" s="1159">
        <f t="shared" ref="D37:G37" si="3">SUM(D36)/D35</f>
        <v>0.69824074488562604</v>
      </c>
      <c r="E37" s="1159"/>
      <c r="F37" s="1159"/>
      <c r="G37" s="1159">
        <f t="shared" si="3"/>
        <v>0.71492516980324228</v>
      </c>
      <c r="H37" s="4"/>
      <c r="I37" s="4"/>
      <c r="J37" s="4"/>
    </row>
    <row r="38" spans="1:10" ht="7.5" customHeight="1" thickBot="1" x14ac:dyDescent="0.25">
      <c r="A38" s="434"/>
      <c r="B38" s="4"/>
      <c r="C38" s="4"/>
      <c r="D38" s="4"/>
      <c r="E38" s="4"/>
      <c r="F38" s="4"/>
      <c r="G38" s="4"/>
      <c r="H38" s="4"/>
      <c r="I38" s="4"/>
      <c r="J38" s="4"/>
    </row>
    <row r="39" spans="1:10" ht="48.75" customHeight="1" thickBot="1" x14ac:dyDescent="0.3">
      <c r="A39" s="1944" t="s">
        <v>538</v>
      </c>
      <c r="B39" s="2005"/>
      <c r="C39" s="2005"/>
      <c r="D39" s="2005"/>
      <c r="E39" s="2005"/>
      <c r="F39" s="2005"/>
      <c r="G39" s="2006"/>
      <c r="H39" s="4"/>
      <c r="I39" s="4"/>
      <c r="J39" s="4"/>
    </row>
    <row r="40" spans="1:10" ht="31.5" x14ac:dyDescent="0.2">
      <c r="A40" s="437" t="s">
        <v>243</v>
      </c>
      <c r="B40" s="104" t="s">
        <v>253</v>
      </c>
      <c r="C40" s="86" t="s">
        <v>58</v>
      </c>
      <c r="D40" s="86" t="s">
        <v>93</v>
      </c>
      <c r="E40" s="86" t="s">
        <v>94</v>
      </c>
      <c r="F40" s="86" t="s">
        <v>416</v>
      </c>
      <c r="G40" s="143" t="s">
        <v>54</v>
      </c>
      <c r="H40" s="4"/>
      <c r="I40" s="4"/>
      <c r="J40" s="4"/>
    </row>
    <row r="41" spans="1:10" ht="12" customHeight="1" x14ac:dyDescent="0.2">
      <c r="A41" s="2007" t="s">
        <v>184</v>
      </c>
      <c r="B41" s="2008"/>
      <c r="C41" s="361"/>
      <c r="D41" s="361"/>
      <c r="E41" s="361"/>
      <c r="F41" s="361"/>
      <c r="G41" s="362"/>
      <c r="H41" s="4"/>
      <c r="I41" s="4"/>
      <c r="J41" s="4"/>
    </row>
    <row r="42" spans="1:10" ht="12" customHeight="1" x14ac:dyDescent="0.2">
      <c r="A42" s="687" t="s">
        <v>255</v>
      </c>
      <c r="B42" s="779" t="s">
        <v>101</v>
      </c>
      <c r="C42" s="315"/>
      <c r="D42" s="315"/>
      <c r="E42" s="315"/>
      <c r="F42" s="315"/>
      <c r="G42" s="316"/>
      <c r="H42" s="4"/>
      <c r="I42" s="4"/>
      <c r="J42" s="4"/>
    </row>
    <row r="43" spans="1:10" ht="12" customHeight="1" thickBot="1" x14ac:dyDescent="0.25">
      <c r="A43" s="449"/>
      <c r="B43" s="783" t="s">
        <v>392</v>
      </c>
      <c r="C43" s="740">
        <f t="shared" ref="C43:E45" si="4">C7</f>
        <v>14647</v>
      </c>
      <c r="D43" s="740">
        <f t="shared" si="4"/>
        <v>4550</v>
      </c>
      <c r="E43" s="740">
        <f t="shared" si="4"/>
        <v>20965</v>
      </c>
      <c r="F43" s="740">
        <f>SUM(F7)</f>
        <v>3358</v>
      </c>
      <c r="G43" s="802">
        <f t="shared" ref="G43:G48" si="5">SUM(C43:F43)</f>
        <v>43520</v>
      </c>
      <c r="H43" s="4"/>
      <c r="I43" s="4"/>
      <c r="J43" s="4"/>
    </row>
    <row r="44" spans="1:10" ht="0.2" customHeight="1" x14ac:dyDescent="0.2">
      <c r="A44" s="432"/>
      <c r="B44" s="87" t="s">
        <v>393</v>
      </c>
      <c r="C44" s="315">
        <f t="shared" si="4"/>
        <v>14218</v>
      </c>
      <c r="D44" s="315">
        <f t="shared" si="4"/>
        <v>3682</v>
      </c>
      <c r="E44" s="315">
        <f t="shared" si="4"/>
        <v>19764</v>
      </c>
      <c r="F44" s="315">
        <f>SUM(F8)</f>
        <v>3950</v>
      </c>
      <c r="G44" s="801">
        <f t="shared" si="5"/>
        <v>41614</v>
      </c>
      <c r="H44" s="4"/>
      <c r="I44" s="4"/>
      <c r="J44" s="4"/>
    </row>
    <row r="45" spans="1:10" ht="0.2" customHeight="1" thickBot="1" x14ac:dyDescent="0.25">
      <c r="A45" s="449"/>
      <c r="B45" s="783" t="s">
        <v>391</v>
      </c>
      <c r="C45" s="740">
        <f t="shared" si="4"/>
        <v>10912</v>
      </c>
      <c r="D45" s="740">
        <f t="shared" si="4"/>
        <v>3525</v>
      </c>
      <c r="E45" s="740">
        <f t="shared" si="4"/>
        <v>13389</v>
      </c>
      <c r="F45" s="740">
        <f>SUM(F9)</f>
        <v>1550</v>
      </c>
      <c r="G45" s="802">
        <f t="shared" ref="G45" si="6">SUM(C45:F45)</f>
        <v>29376</v>
      </c>
      <c r="H45" s="4"/>
      <c r="I45" s="4"/>
      <c r="J45" s="4"/>
    </row>
    <row r="46" spans="1:10" ht="12" customHeight="1" x14ac:dyDescent="0.2">
      <c r="A46" s="687" t="s">
        <v>254</v>
      </c>
      <c r="B46" s="779" t="s">
        <v>4</v>
      </c>
      <c r="C46" s="315"/>
      <c r="D46" s="315"/>
      <c r="E46" s="315"/>
      <c r="F46" s="315"/>
      <c r="G46" s="801"/>
      <c r="H46" s="4"/>
      <c r="I46" s="4"/>
      <c r="J46" s="4"/>
    </row>
    <row r="47" spans="1:10" ht="12" customHeight="1" thickBot="1" x14ac:dyDescent="0.25">
      <c r="A47" s="727"/>
      <c r="B47" s="777" t="s">
        <v>392</v>
      </c>
      <c r="C47" s="728">
        <f t="shared" ref="C47:E49" si="7">C11</f>
        <v>4236</v>
      </c>
      <c r="D47" s="728">
        <f t="shared" si="7"/>
        <v>1185</v>
      </c>
      <c r="E47" s="728">
        <f t="shared" si="7"/>
        <v>275</v>
      </c>
      <c r="F47" s="728">
        <f>SUM(F11)</f>
        <v>1680</v>
      </c>
      <c r="G47" s="801">
        <f t="shared" si="5"/>
        <v>7376</v>
      </c>
      <c r="H47" s="4"/>
      <c r="I47" s="4"/>
      <c r="J47" s="4"/>
    </row>
    <row r="48" spans="1:10" ht="0.2" customHeight="1" x14ac:dyDescent="0.2">
      <c r="A48" s="808"/>
      <c r="B48" s="173" t="s">
        <v>393</v>
      </c>
      <c r="C48" s="317">
        <f t="shared" si="7"/>
        <v>6269</v>
      </c>
      <c r="D48" s="317">
        <f t="shared" si="7"/>
        <v>1802</v>
      </c>
      <c r="E48" s="317">
        <f t="shared" si="7"/>
        <v>1380</v>
      </c>
      <c r="F48" s="317">
        <f>SUM(F12)</f>
        <v>318</v>
      </c>
      <c r="G48" s="801">
        <f t="shared" si="5"/>
        <v>9769</v>
      </c>
      <c r="H48" s="4"/>
      <c r="I48" s="4"/>
      <c r="J48" s="4"/>
    </row>
    <row r="49" spans="1:10" ht="0.2" customHeight="1" thickBot="1" x14ac:dyDescent="0.25">
      <c r="A49" s="727"/>
      <c r="B49" s="87" t="s">
        <v>391</v>
      </c>
      <c r="C49" s="317">
        <f t="shared" si="7"/>
        <v>4799</v>
      </c>
      <c r="D49" s="317">
        <f t="shared" si="7"/>
        <v>1220</v>
      </c>
      <c r="E49" s="317">
        <f t="shared" si="7"/>
        <v>349</v>
      </c>
      <c r="F49" s="317">
        <f>SUM(F13)</f>
        <v>637</v>
      </c>
      <c r="G49" s="801">
        <f t="shared" ref="G49" si="8">SUM(C49:F49)</f>
        <v>7005</v>
      </c>
      <c r="H49" s="4"/>
      <c r="I49" s="4"/>
      <c r="J49" s="4"/>
    </row>
    <row r="50" spans="1:10" ht="12" customHeight="1" x14ac:dyDescent="0.2">
      <c r="A50" s="2015" t="s">
        <v>97</v>
      </c>
      <c r="B50" s="2016"/>
      <c r="C50" s="792"/>
      <c r="D50" s="792"/>
      <c r="E50" s="792"/>
      <c r="F50" s="792"/>
      <c r="G50" s="813"/>
      <c r="H50" s="4"/>
      <c r="I50" s="4"/>
      <c r="J50" s="4"/>
    </row>
    <row r="51" spans="1:10" ht="12" customHeight="1" thickBot="1" x14ac:dyDescent="0.25">
      <c r="A51" s="794"/>
      <c r="B51" s="795" t="s">
        <v>392</v>
      </c>
      <c r="C51" s="1709">
        <f t="shared" ref="C51:G53" si="9">C43+C47</f>
        <v>18883</v>
      </c>
      <c r="D51" s="1709">
        <f t="shared" si="9"/>
        <v>5735</v>
      </c>
      <c r="E51" s="1709">
        <f t="shared" si="9"/>
        <v>21240</v>
      </c>
      <c r="F51" s="1709">
        <f t="shared" si="9"/>
        <v>5038</v>
      </c>
      <c r="G51" s="1711">
        <f t="shared" si="9"/>
        <v>50896</v>
      </c>
      <c r="H51" s="4"/>
      <c r="I51" s="4"/>
      <c r="J51" s="4"/>
    </row>
    <row r="52" spans="1:10" ht="0.2" customHeight="1" x14ac:dyDescent="0.2">
      <c r="A52" s="1729"/>
      <c r="B52" s="1728" t="s">
        <v>393</v>
      </c>
      <c r="C52" s="754">
        <f t="shared" si="9"/>
        <v>20487</v>
      </c>
      <c r="D52" s="754">
        <f t="shared" si="9"/>
        <v>5484</v>
      </c>
      <c r="E52" s="754">
        <f t="shared" si="9"/>
        <v>21144</v>
      </c>
      <c r="F52" s="754">
        <f t="shared" si="9"/>
        <v>4268</v>
      </c>
      <c r="G52" s="799">
        <f t="shared" si="9"/>
        <v>51383</v>
      </c>
      <c r="H52" s="4"/>
      <c r="I52" s="4"/>
      <c r="J52" s="4"/>
    </row>
    <row r="53" spans="1:10" ht="0.2" customHeight="1" x14ac:dyDescent="0.2">
      <c r="A53" s="1155"/>
      <c r="B53" s="1156" t="s">
        <v>391</v>
      </c>
      <c r="C53" s="745">
        <f t="shared" si="9"/>
        <v>15711</v>
      </c>
      <c r="D53" s="745">
        <f t="shared" si="9"/>
        <v>4745</v>
      </c>
      <c r="E53" s="745">
        <f t="shared" si="9"/>
        <v>13738</v>
      </c>
      <c r="F53" s="745">
        <f t="shared" si="9"/>
        <v>2187</v>
      </c>
      <c r="G53" s="746">
        <f t="shared" si="9"/>
        <v>36381</v>
      </c>
      <c r="H53" s="4"/>
      <c r="I53" s="4"/>
      <c r="J53" s="4"/>
    </row>
    <row r="54" spans="1:10" ht="0.2" customHeight="1" thickBot="1" x14ac:dyDescent="0.25">
      <c r="A54" s="794"/>
      <c r="B54" s="795" t="s">
        <v>498</v>
      </c>
      <c r="C54" s="1159">
        <f>SUM(C53)/C52</f>
        <v>0.76687655586469472</v>
      </c>
      <c r="D54" s="1159">
        <f t="shared" ref="D54:G54" si="10">SUM(D53)/D52</f>
        <v>0.86524434719183074</v>
      </c>
      <c r="E54" s="1159">
        <f t="shared" si="10"/>
        <v>0.649735149451381</v>
      </c>
      <c r="F54" s="1159">
        <f t="shared" si="10"/>
        <v>0.51241799437675728</v>
      </c>
      <c r="G54" s="1160">
        <f t="shared" si="10"/>
        <v>0.70803573166222289</v>
      </c>
      <c r="H54" s="4"/>
      <c r="I54" s="4"/>
      <c r="J54" s="4"/>
    </row>
    <row r="55" spans="1:10" ht="7.5" customHeight="1" x14ac:dyDescent="0.2">
      <c r="A55" s="433"/>
      <c r="B55" s="68"/>
      <c r="C55" s="318"/>
      <c r="D55" s="318"/>
      <c r="E55" s="318"/>
      <c r="F55" s="318"/>
      <c r="G55" s="319"/>
      <c r="H55" s="4"/>
      <c r="I55" s="4"/>
      <c r="J55" s="4"/>
    </row>
    <row r="56" spans="1:10" ht="31.5" x14ac:dyDescent="0.2">
      <c r="A56" s="437" t="s">
        <v>243</v>
      </c>
      <c r="B56" s="104" t="s">
        <v>253</v>
      </c>
      <c r="C56" s="313" t="s">
        <v>98</v>
      </c>
      <c r="D56" s="313" t="s">
        <v>333</v>
      </c>
      <c r="E56" s="313" t="s">
        <v>499</v>
      </c>
      <c r="F56" s="320"/>
      <c r="G56" s="321"/>
      <c r="H56" s="4"/>
      <c r="I56" s="4"/>
      <c r="J56" s="4"/>
    </row>
    <row r="57" spans="1:10" ht="12" customHeight="1" x14ac:dyDescent="0.2">
      <c r="A57" s="2007" t="s">
        <v>184</v>
      </c>
      <c r="B57" s="2008"/>
      <c r="C57" s="365"/>
      <c r="D57" s="365"/>
      <c r="E57" s="365"/>
      <c r="F57" s="365"/>
      <c r="G57" s="366"/>
      <c r="H57" s="4"/>
      <c r="I57" s="4"/>
      <c r="J57" s="4"/>
    </row>
    <row r="58" spans="1:10" ht="12" customHeight="1" x14ac:dyDescent="0.2">
      <c r="A58" s="782" t="s">
        <v>305</v>
      </c>
      <c r="B58" s="781" t="s">
        <v>311</v>
      </c>
      <c r="C58" s="365"/>
      <c r="D58" s="356"/>
      <c r="E58" s="356"/>
      <c r="F58" s="356"/>
      <c r="G58" s="368"/>
      <c r="H58" s="4"/>
      <c r="I58" s="4"/>
      <c r="J58" s="4"/>
    </row>
    <row r="59" spans="1:10" ht="12" customHeight="1" thickBot="1" x14ac:dyDescent="0.25">
      <c r="A59" s="796"/>
      <c r="B59" s="783" t="s">
        <v>392</v>
      </c>
      <c r="C59" s="811"/>
      <c r="D59" s="788">
        <f>D22</f>
        <v>44191</v>
      </c>
      <c r="E59" s="788"/>
      <c r="F59" s="788"/>
      <c r="G59" s="806">
        <f>SUM(D59:F59)</f>
        <v>44191</v>
      </c>
      <c r="H59" s="4"/>
      <c r="I59" s="4"/>
      <c r="J59" s="4"/>
    </row>
    <row r="60" spans="1:10" ht="0.2" customHeight="1" x14ac:dyDescent="0.2">
      <c r="A60" s="454"/>
      <c r="B60" s="87" t="s">
        <v>393</v>
      </c>
      <c r="C60" s="365"/>
      <c r="D60" s="356">
        <f>D23</f>
        <v>44678</v>
      </c>
      <c r="E60" s="356"/>
      <c r="F60" s="356"/>
      <c r="G60" s="805">
        <f>SUM(D60:F60)</f>
        <v>44678</v>
      </c>
      <c r="H60" s="4"/>
      <c r="I60" s="4"/>
      <c r="J60" s="4"/>
    </row>
    <row r="61" spans="1:10" ht="0.2" customHeight="1" thickBot="1" x14ac:dyDescent="0.25">
      <c r="A61" s="796"/>
      <c r="B61" s="783" t="s">
        <v>391</v>
      </c>
      <c r="C61" s="811"/>
      <c r="D61" s="788">
        <f>D24</f>
        <v>31196</v>
      </c>
      <c r="E61" s="788"/>
      <c r="F61" s="788"/>
      <c r="G61" s="806">
        <f>SUM(D61:F61)</f>
        <v>31196</v>
      </c>
      <c r="H61" s="4"/>
      <c r="I61" s="4"/>
      <c r="J61" s="4"/>
    </row>
    <row r="62" spans="1:10" ht="12" customHeight="1" x14ac:dyDescent="0.2">
      <c r="A62" s="687" t="s">
        <v>255</v>
      </c>
      <c r="B62" s="779" t="s">
        <v>101</v>
      </c>
      <c r="C62" s="315"/>
      <c r="D62" s="315"/>
      <c r="E62" s="315"/>
      <c r="F62" s="315"/>
      <c r="G62" s="805"/>
      <c r="H62" s="4"/>
      <c r="I62" s="4"/>
      <c r="J62" s="4"/>
    </row>
    <row r="63" spans="1:10" ht="12" customHeight="1" thickBot="1" x14ac:dyDescent="0.25">
      <c r="A63" s="449"/>
      <c r="B63" s="783" t="s">
        <v>392</v>
      </c>
      <c r="C63" s="740">
        <f>C26</f>
        <v>6500</v>
      </c>
      <c r="D63" s="740"/>
      <c r="E63" s="740"/>
      <c r="F63" s="740"/>
      <c r="G63" s="806">
        <f>SUM(C63:F63)</f>
        <v>6500</v>
      </c>
      <c r="H63" s="4"/>
      <c r="I63" s="4"/>
      <c r="J63" s="4"/>
    </row>
    <row r="64" spans="1:10" ht="0.2" customHeight="1" x14ac:dyDescent="0.2">
      <c r="A64" s="432"/>
      <c r="B64" s="87" t="s">
        <v>393</v>
      </c>
      <c r="C64" s="315">
        <f>C27</f>
        <v>6500</v>
      </c>
      <c r="D64" s="315"/>
      <c r="E64" s="315"/>
      <c r="F64" s="315"/>
      <c r="G64" s="805">
        <f>SUM(C64:F64)</f>
        <v>6500</v>
      </c>
      <c r="H64" s="4"/>
      <c r="I64" s="4"/>
      <c r="J64" s="4"/>
    </row>
    <row r="65" spans="1:10" ht="0.2" customHeight="1" thickBot="1" x14ac:dyDescent="0.25">
      <c r="A65" s="449"/>
      <c r="B65" s="783" t="s">
        <v>391</v>
      </c>
      <c r="C65" s="740">
        <f>C28</f>
        <v>3744</v>
      </c>
      <c r="D65" s="740"/>
      <c r="E65" s="740">
        <f>SUM(E28)</f>
        <v>1612</v>
      </c>
      <c r="F65" s="740"/>
      <c r="G65" s="806">
        <f>SUM(C65:F65)</f>
        <v>5356</v>
      </c>
      <c r="H65" s="4"/>
      <c r="I65" s="4"/>
      <c r="J65" s="4"/>
    </row>
    <row r="66" spans="1:10" ht="12" customHeight="1" x14ac:dyDescent="0.2">
      <c r="A66" s="687" t="s">
        <v>254</v>
      </c>
      <c r="B66" s="779" t="s">
        <v>4</v>
      </c>
      <c r="C66" s="315"/>
      <c r="D66" s="315"/>
      <c r="E66" s="315"/>
      <c r="F66" s="315"/>
      <c r="G66" s="805"/>
      <c r="H66" s="4"/>
      <c r="I66" s="4"/>
      <c r="J66" s="4"/>
    </row>
    <row r="67" spans="1:10" ht="12" customHeight="1" thickBot="1" x14ac:dyDescent="0.25">
      <c r="A67" s="727"/>
      <c r="B67" s="777" t="s">
        <v>392</v>
      </c>
      <c r="C67" s="317">
        <f>C30</f>
        <v>205</v>
      </c>
      <c r="D67" s="728"/>
      <c r="E67" s="728"/>
      <c r="F67" s="728"/>
      <c r="G67" s="805">
        <f>SUM(C67:F67)</f>
        <v>205</v>
      </c>
      <c r="H67" s="4"/>
      <c r="I67" s="4"/>
      <c r="J67" s="4"/>
    </row>
    <row r="68" spans="1:10" ht="0.2" customHeight="1" x14ac:dyDescent="0.2">
      <c r="A68" s="808"/>
      <c r="B68" s="173" t="s">
        <v>393</v>
      </c>
      <c r="C68" s="317">
        <f>C31</f>
        <v>205</v>
      </c>
      <c r="D68" s="317"/>
      <c r="E68" s="317"/>
      <c r="F68" s="317"/>
      <c r="G68" s="805">
        <f>SUM(C68:F68)</f>
        <v>205</v>
      </c>
      <c r="H68" s="4"/>
      <c r="I68" s="4"/>
      <c r="J68" s="4"/>
    </row>
    <row r="69" spans="1:10" ht="0.2" customHeight="1" thickBot="1" x14ac:dyDescent="0.25">
      <c r="A69" s="727"/>
      <c r="B69" s="87" t="s">
        <v>391</v>
      </c>
      <c r="C69" s="317">
        <f>C32</f>
        <v>178</v>
      </c>
      <c r="D69" s="317"/>
      <c r="E69" s="317">
        <f>SUM(E32)</f>
        <v>5</v>
      </c>
      <c r="F69" s="317"/>
      <c r="G69" s="805">
        <f>SUM(C69:F69)</f>
        <v>183</v>
      </c>
      <c r="H69" s="4"/>
      <c r="I69" s="4"/>
      <c r="J69" s="4"/>
    </row>
    <row r="70" spans="1:10" ht="12" customHeight="1" x14ac:dyDescent="0.2">
      <c r="A70" s="2015" t="s">
        <v>99</v>
      </c>
      <c r="B70" s="2016"/>
      <c r="C70" s="792"/>
      <c r="D70" s="792"/>
      <c r="E70" s="792"/>
      <c r="F70" s="792"/>
      <c r="G70" s="814"/>
      <c r="H70" s="4"/>
      <c r="I70" s="4"/>
      <c r="J70" s="4"/>
    </row>
    <row r="71" spans="1:10" ht="12" customHeight="1" thickBot="1" x14ac:dyDescent="0.25">
      <c r="A71" s="834"/>
      <c r="B71" s="795" t="s">
        <v>392</v>
      </c>
      <c r="C71" s="1723">
        <f t="shared" ref="C71:G73" si="11">C59+C63+C67</f>
        <v>6705</v>
      </c>
      <c r="D71" s="1723">
        <f t="shared" si="11"/>
        <v>44191</v>
      </c>
      <c r="E71" s="1723">
        <f t="shared" si="11"/>
        <v>0</v>
      </c>
      <c r="F71" s="1723">
        <f t="shared" si="11"/>
        <v>0</v>
      </c>
      <c r="G71" s="1725">
        <f t="shared" si="11"/>
        <v>50896</v>
      </c>
      <c r="H71" s="4"/>
      <c r="I71" s="4"/>
      <c r="J71" s="4"/>
    </row>
    <row r="72" spans="1:10" ht="0.2" customHeight="1" x14ac:dyDescent="0.2">
      <c r="A72" s="1730"/>
      <c r="B72" s="1728" t="s">
        <v>393</v>
      </c>
      <c r="C72" s="1718">
        <f t="shared" si="11"/>
        <v>6705</v>
      </c>
      <c r="D72" s="1718">
        <f t="shared" si="11"/>
        <v>44678</v>
      </c>
      <c r="E72" s="1718">
        <f t="shared" si="11"/>
        <v>0</v>
      </c>
      <c r="F72" s="1718">
        <f t="shared" si="11"/>
        <v>0</v>
      </c>
      <c r="G72" s="1720">
        <f t="shared" si="11"/>
        <v>51383</v>
      </c>
      <c r="H72" s="4"/>
      <c r="I72" s="4"/>
      <c r="J72" s="4"/>
    </row>
    <row r="73" spans="1:10" ht="0.2" customHeight="1" x14ac:dyDescent="0.2">
      <c r="A73" s="1158"/>
      <c r="B73" s="1156" t="s">
        <v>391</v>
      </c>
      <c r="C73" s="772">
        <f t="shared" si="11"/>
        <v>3922</v>
      </c>
      <c r="D73" s="772">
        <f t="shared" si="11"/>
        <v>31196</v>
      </c>
      <c r="E73" s="772">
        <f t="shared" si="11"/>
        <v>1617</v>
      </c>
      <c r="F73" s="772">
        <f t="shared" si="11"/>
        <v>0</v>
      </c>
      <c r="G73" s="776">
        <f t="shared" si="11"/>
        <v>36735</v>
      </c>
      <c r="H73" s="4"/>
      <c r="I73" s="4"/>
      <c r="J73" s="4"/>
    </row>
    <row r="74" spans="1:10" ht="0.2" customHeight="1" thickBot="1" x14ac:dyDescent="0.25">
      <c r="A74" s="812"/>
      <c r="B74" s="795" t="s">
        <v>498</v>
      </c>
      <c r="C74" s="1161">
        <f>SUM(C73)/C72</f>
        <v>0.58493661446681577</v>
      </c>
      <c r="D74" s="1161">
        <f t="shared" ref="D74:G74" si="12">SUM(D73)/D72</f>
        <v>0.69824074488562604</v>
      </c>
      <c r="E74" s="1161"/>
      <c r="F74" s="1161"/>
      <c r="G74" s="1162">
        <f t="shared" si="12"/>
        <v>0.71492516980324228</v>
      </c>
      <c r="H74" s="4"/>
      <c r="I74" s="4"/>
      <c r="J74" s="4"/>
    </row>
    <row r="75" spans="1:10" x14ac:dyDescent="0.2">
      <c r="A75" s="434"/>
      <c r="B75" s="59"/>
      <c r="C75" s="59"/>
      <c r="D75" s="59"/>
      <c r="E75" s="59"/>
      <c r="F75" s="59"/>
      <c r="G75" s="4"/>
      <c r="H75" s="4"/>
      <c r="I75" s="4"/>
      <c r="J75" s="4"/>
    </row>
    <row r="76" spans="1:10" x14ac:dyDescent="0.2">
      <c r="A76" s="435"/>
      <c r="B76" s="66"/>
      <c r="C76" s="66"/>
      <c r="D76" s="66"/>
      <c r="E76" s="66"/>
      <c r="F76" s="66"/>
      <c r="G76" s="4"/>
      <c r="H76" s="4"/>
      <c r="I76" s="4"/>
      <c r="J76" s="4"/>
    </row>
    <row r="77" spans="1:10" x14ac:dyDescent="0.2">
      <c r="A77" s="434"/>
      <c r="B77" s="59"/>
      <c r="C77" s="59"/>
      <c r="D77" s="59"/>
      <c r="E77" s="59"/>
      <c r="F77" s="59"/>
      <c r="G77" s="4"/>
      <c r="H77" s="4"/>
      <c r="I77" s="4"/>
      <c r="J77" s="4"/>
    </row>
    <row r="78" spans="1:10" x14ac:dyDescent="0.2">
      <c r="A78" s="434"/>
      <c r="B78" s="59"/>
      <c r="C78" s="59"/>
      <c r="D78" s="59"/>
      <c r="E78" s="59"/>
      <c r="F78" s="59"/>
      <c r="G78" s="4"/>
      <c r="H78" s="4"/>
      <c r="I78" s="4"/>
      <c r="J78" s="4"/>
    </row>
    <row r="79" spans="1:10" x14ac:dyDescent="0.2">
      <c r="A79" s="435"/>
      <c r="B79" s="67"/>
      <c r="C79" s="67"/>
      <c r="D79" s="67"/>
      <c r="E79" s="67"/>
      <c r="F79" s="67"/>
      <c r="G79" s="4"/>
      <c r="H79" s="4"/>
      <c r="I79" s="4"/>
      <c r="J79" s="4"/>
    </row>
    <row r="80" spans="1:10" x14ac:dyDescent="0.2">
      <c r="A80" s="43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43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43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43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43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43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43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43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43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3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3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3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3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3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3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3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3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3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3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3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3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3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3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3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3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3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3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3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3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3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3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34"/>
      <c r="B111" s="4"/>
      <c r="C111" s="4"/>
      <c r="D111" s="4"/>
      <c r="E111" s="4"/>
      <c r="F111" s="4"/>
      <c r="G111" s="4"/>
      <c r="H111" s="4"/>
      <c r="I111" s="4"/>
      <c r="J111" s="4"/>
    </row>
  </sheetData>
  <mergeCells count="8">
    <mergeCell ref="A70:B70"/>
    <mergeCell ref="A1:G1"/>
    <mergeCell ref="A39:G39"/>
    <mergeCell ref="A41:B41"/>
    <mergeCell ref="A57:B57"/>
    <mergeCell ref="A14:B14"/>
    <mergeCell ref="A33:B33"/>
    <mergeCell ref="A50:B5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B1" workbookViewId="0">
      <selection activeCell="L24" sqref="L24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20.7109375" style="6" customWidth="1"/>
    <col min="4" max="4" width="29.28515625" customWidth="1"/>
    <col min="5" max="6" width="0.28515625" customWidth="1"/>
    <col min="7" max="7" width="38.28515625" style="1" hidden="1" customWidth="1"/>
    <col min="8" max="8" width="35.140625" style="1" customWidth="1"/>
    <col min="9" max="9" width="22.7109375" customWidth="1"/>
    <col min="10" max="11" width="0.28515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1941" t="s">
        <v>539</v>
      </c>
      <c r="D1" s="1942"/>
      <c r="E1" s="1942"/>
      <c r="F1" s="1942"/>
      <c r="G1" s="1942"/>
      <c r="H1" s="1942"/>
      <c r="I1" s="1942"/>
      <c r="J1" s="1942"/>
      <c r="K1" s="1943"/>
      <c r="L1" s="105"/>
      <c r="M1" s="33"/>
    </row>
    <row r="2" spans="1:23" s="12" customFormat="1" ht="20.25" thickBot="1" x14ac:dyDescent="0.4">
      <c r="A2" s="34"/>
      <c r="B2" s="34"/>
      <c r="C2" s="197"/>
      <c r="D2" s="113"/>
      <c r="E2" s="113"/>
      <c r="F2" s="114"/>
      <c r="G2" s="113"/>
      <c r="H2" s="128"/>
      <c r="I2" s="115"/>
      <c r="J2" s="115"/>
      <c r="K2" s="198"/>
      <c r="L2" s="105"/>
      <c r="M2" s="33"/>
    </row>
    <row r="3" spans="1:23" ht="16.5" thickBot="1" x14ac:dyDescent="0.3">
      <c r="A3" s="6"/>
      <c r="C3" s="116"/>
      <c r="D3" s="910" t="s">
        <v>6</v>
      </c>
      <c r="E3" s="910"/>
      <c r="F3" s="117"/>
      <c r="G3" s="109"/>
      <c r="H3" s="109"/>
      <c r="I3" s="910" t="s">
        <v>111</v>
      </c>
      <c r="J3" s="910"/>
      <c r="K3" s="117"/>
      <c r="L3" s="106"/>
    </row>
    <row r="4" spans="1:23" ht="3" customHeight="1" thickBot="1" x14ac:dyDescent="0.3">
      <c r="A4" s="6"/>
      <c r="C4" s="122"/>
      <c r="D4" s="123"/>
      <c r="E4" s="123"/>
      <c r="F4" s="124"/>
      <c r="G4" s="125"/>
      <c r="H4" s="127"/>
      <c r="I4" s="123"/>
      <c r="J4" s="650"/>
      <c r="K4" s="71"/>
      <c r="L4" s="107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2"/>
      <c r="D5" s="1034" t="s">
        <v>403</v>
      </c>
      <c r="E5" s="1034"/>
      <c r="F5" s="1035"/>
      <c r="G5" s="265"/>
      <c r="H5" s="1036"/>
      <c r="I5" s="1034" t="s">
        <v>403</v>
      </c>
      <c r="J5" s="1034"/>
      <c r="K5" s="1035"/>
      <c r="L5" s="107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5.5" customHeight="1" x14ac:dyDescent="0.25">
      <c r="A6" s="6"/>
      <c r="C6" s="196"/>
      <c r="D6" s="272"/>
      <c r="E6" s="272"/>
      <c r="F6" s="647"/>
      <c r="G6" s="265"/>
      <c r="H6" s="1003" t="s">
        <v>428</v>
      </c>
      <c r="I6" s="272">
        <v>2500</v>
      </c>
      <c r="J6" s="272">
        <v>2500</v>
      </c>
      <c r="K6" s="647"/>
      <c r="L6" s="10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" x14ac:dyDescent="0.25">
      <c r="A7" s="6"/>
      <c r="C7" s="196"/>
      <c r="D7" s="274"/>
      <c r="E7" s="274"/>
      <c r="F7" s="647"/>
      <c r="G7" s="265"/>
      <c r="H7" s="1040" t="s">
        <v>473</v>
      </c>
      <c r="I7" s="373">
        <v>1680</v>
      </c>
      <c r="J7" s="373">
        <v>318</v>
      </c>
      <c r="K7" s="647">
        <v>637</v>
      </c>
      <c r="L7" s="106"/>
    </row>
    <row r="8" spans="1:23" ht="15" x14ac:dyDescent="0.25">
      <c r="A8" s="6"/>
      <c r="C8" s="196"/>
      <c r="D8" s="274"/>
      <c r="E8" s="274"/>
      <c r="F8" s="647"/>
      <c r="G8" s="265"/>
      <c r="H8" s="1043" t="s">
        <v>565</v>
      </c>
      <c r="I8" s="1004">
        <v>508</v>
      </c>
      <c r="J8" s="1004"/>
      <c r="K8" s="647">
        <v>64</v>
      </c>
      <c r="L8" s="106"/>
    </row>
    <row r="9" spans="1:23" ht="18" customHeight="1" x14ac:dyDescent="0.25">
      <c r="A9" s="6"/>
      <c r="C9" s="196"/>
      <c r="D9" s="272"/>
      <c r="E9" s="272"/>
      <c r="F9" s="648"/>
      <c r="G9" s="265"/>
      <c r="H9" s="947" t="s">
        <v>605</v>
      </c>
      <c r="I9" s="275">
        <v>150</v>
      </c>
      <c r="J9" s="275"/>
      <c r="K9" s="647">
        <v>13</v>
      </c>
      <c r="L9" s="106"/>
    </row>
    <row r="10" spans="1:23" ht="16.5" customHeight="1" thickBot="1" x14ac:dyDescent="0.3">
      <c r="A10" s="6"/>
      <c r="B10" s="377"/>
      <c r="C10" s="1046"/>
      <c r="D10" s="1047"/>
      <c r="E10" s="1047"/>
      <c r="F10" s="1203"/>
      <c r="G10" s="265"/>
      <c r="H10" s="1044" t="s">
        <v>606</v>
      </c>
      <c r="I10" s="1045">
        <v>200</v>
      </c>
      <c r="J10" s="1045"/>
      <c r="K10" s="268"/>
      <c r="L10" s="106"/>
    </row>
    <row r="11" spans="1:23" ht="16.5" thickBot="1" x14ac:dyDescent="0.3">
      <c r="A11" s="4"/>
      <c r="B11" s="610"/>
      <c r="C11" s="119" t="s">
        <v>54</v>
      </c>
      <c r="D11" s="649">
        <f>SUM(D6:D10)</f>
        <v>0</v>
      </c>
      <c r="E11" s="269">
        <f>SUM(E6:E10)</f>
        <v>0</v>
      </c>
      <c r="F11" s="1205"/>
      <c r="G11" s="270"/>
      <c r="H11" s="912"/>
      <c r="I11" s="651">
        <f>SUM(I6:I10)</f>
        <v>5038</v>
      </c>
      <c r="J11" s="651">
        <f>SUM(J6:J10)</f>
        <v>2818</v>
      </c>
      <c r="K11" s="263">
        <f>SUM(K6:K10)</f>
        <v>714</v>
      </c>
      <c r="L11" s="106"/>
    </row>
    <row r="12" spans="1:23" ht="16.5" thickBot="1" x14ac:dyDescent="0.3">
      <c r="A12" s="4"/>
      <c r="B12" s="4"/>
      <c r="C12" s="270" t="s">
        <v>404</v>
      </c>
      <c r="D12" s="369"/>
      <c r="E12" s="270"/>
      <c r="F12" s="271"/>
      <c r="G12" s="271"/>
      <c r="H12" s="653"/>
      <c r="I12" s="913">
        <f>SUM(I11+D11)</f>
        <v>5038</v>
      </c>
      <c r="J12" s="914">
        <f>SUM(I11+D11)</f>
        <v>5038</v>
      </c>
      <c r="K12" s="264">
        <f>SUM(D11+I11)</f>
        <v>5038</v>
      </c>
      <c r="L12" s="106"/>
    </row>
    <row r="13" spans="1:23" ht="0.2" customHeight="1" thickBot="1" x14ac:dyDescent="0.3">
      <c r="A13" s="4"/>
      <c r="B13" s="4"/>
      <c r="C13" s="270" t="s">
        <v>405</v>
      </c>
      <c r="D13" s="369"/>
      <c r="E13" s="270"/>
      <c r="F13" s="271"/>
      <c r="G13" s="271"/>
      <c r="H13" s="653"/>
      <c r="I13" s="271"/>
      <c r="J13" s="914">
        <f>SUM(J11+E11)</f>
        <v>2818</v>
      </c>
      <c r="K13" s="264">
        <f>SUM(E11+J11)</f>
        <v>2818</v>
      </c>
      <c r="L13" s="106"/>
    </row>
    <row r="14" spans="1:23" s="24" customFormat="1" ht="0.2" customHeight="1" thickBot="1" x14ac:dyDescent="0.3">
      <c r="A14" s="23" t="s">
        <v>7</v>
      </c>
      <c r="B14" s="23"/>
      <c r="C14" s="270" t="s">
        <v>505</v>
      </c>
      <c r="D14" s="369"/>
      <c r="E14" s="270"/>
      <c r="F14" s="271"/>
      <c r="G14" s="271"/>
      <c r="H14" s="653"/>
      <c r="I14" s="271"/>
      <c r="J14" s="914"/>
      <c r="K14" s="264">
        <f>SUM(K11+F11)</f>
        <v>714</v>
      </c>
      <c r="L14" s="25"/>
    </row>
    <row r="15" spans="1:23" ht="0.2" customHeight="1" thickBot="1" x14ac:dyDescent="0.3">
      <c r="A15" s="4"/>
      <c r="B15" s="4"/>
      <c r="C15" s="23"/>
      <c r="D15" s="24"/>
      <c r="E15" s="24"/>
      <c r="F15" s="8"/>
      <c r="G15" s="5"/>
      <c r="H15" s="5"/>
      <c r="I15" s="4"/>
      <c r="J15" s="4"/>
      <c r="K15" s="1204">
        <f>SUM(K14/K13)</f>
        <v>0.25337118523775726</v>
      </c>
    </row>
    <row r="16" spans="1:23" x14ac:dyDescent="0.2">
      <c r="C16" s="4"/>
      <c r="D16" s="5"/>
      <c r="E16" s="5"/>
      <c r="F16" s="20"/>
      <c r="G16" s="4"/>
      <c r="H16" s="4"/>
    </row>
    <row r="17" spans="1:3" x14ac:dyDescent="0.2">
      <c r="A17" s="7"/>
      <c r="B17" s="7"/>
    </row>
    <row r="18" spans="1:3" x14ac:dyDescent="0.2">
      <c r="A18" s="9"/>
      <c r="B18" s="9"/>
      <c r="C18" s="7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  <row r="31" spans="1:3" x14ac:dyDescent="0.2">
      <c r="A31" s="9"/>
      <c r="B31" s="9"/>
      <c r="C31" s="9"/>
    </row>
    <row r="32" spans="1:3" x14ac:dyDescent="0.2">
      <c r="A32" s="9"/>
      <c r="B32" s="9"/>
      <c r="C32" s="9"/>
    </row>
    <row r="33" spans="1:12" x14ac:dyDescent="0.2">
      <c r="A33" s="9"/>
      <c r="B33" s="9"/>
      <c r="C33" s="9"/>
    </row>
    <row r="34" spans="1:12" x14ac:dyDescent="0.2">
      <c r="A34" s="9"/>
      <c r="B34" s="9"/>
      <c r="C34" s="9"/>
    </row>
    <row r="35" spans="1:12" x14ac:dyDescent="0.2">
      <c r="A35" s="9"/>
      <c r="B35" s="9"/>
      <c r="C35" s="9"/>
    </row>
    <row r="36" spans="1:12" x14ac:dyDescent="0.2">
      <c r="A36" s="8"/>
      <c r="B36" s="8"/>
      <c r="C36" s="9"/>
    </row>
    <row r="37" spans="1:12" x14ac:dyDescent="0.2">
      <c r="A37" s="5"/>
      <c r="B37" s="5"/>
      <c r="C37" s="8"/>
    </row>
    <row r="38" spans="1:12" x14ac:dyDescent="0.2">
      <c r="A38" s="21"/>
      <c r="B38" s="21"/>
      <c r="C38" s="5"/>
    </row>
    <row r="39" spans="1:12" x14ac:dyDescent="0.2">
      <c r="A39" s="21"/>
      <c r="B39" s="21"/>
      <c r="C39" s="21"/>
    </row>
    <row r="40" spans="1:12" x14ac:dyDescent="0.2">
      <c r="A40" s="21"/>
      <c r="B40" s="21"/>
      <c r="C40" s="21"/>
    </row>
    <row r="41" spans="1:12" s="2" customFormat="1" ht="15.75" x14ac:dyDescent="0.25">
      <c r="A41" s="22"/>
      <c r="B41" s="22"/>
      <c r="C41" s="21"/>
      <c r="D41"/>
      <c r="E41"/>
      <c r="F41"/>
      <c r="G41" s="1"/>
      <c r="H41" s="1"/>
      <c r="I41"/>
      <c r="J41"/>
      <c r="K41"/>
      <c r="L41" s="1"/>
    </row>
    <row r="42" spans="1:12" ht="15.75" x14ac:dyDescent="0.25">
      <c r="A42" s="21"/>
      <c r="B42" s="21"/>
      <c r="C42" s="22"/>
    </row>
    <row r="43" spans="1:12" x14ac:dyDescent="0.2">
      <c r="A43" s="4"/>
      <c r="B43" s="4"/>
      <c r="C43" s="21"/>
    </row>
    <row r="44" spans="1:12" x14ac:dyDescent="0.2">
      <c r="A44" s="4"/>
      <c r="B44" s="4"/>
      <c r="C44" s="4"/>
    </row>
    <row r="45" spans="1:12" x14ac:dyDescent="0.2">
      <c r="A45" s="4"/>
      <c r="B45" s="4"/>
      <c r="C45" s="4"/>
    </row>
    <row r="46" spans="1:12" x14ac:dyDescent="0.2">
      <c r="A46" s="4"/>
      <c r="B46" s="4"/>
      <c r="C46" s="4"/>
    </row>
    <row r="47" spans="1:12" x14ac:dyDescent="0.2">
      <c r="A47" s="4"/>
      <c r="B47" s="4"/>
      <c r="C47" s="4"/>
    </row>
    <row r="48" spans="1:12" x14ac:dyDescent="0.2">
      <c r="A48" s="21"/>
      <c r="B48" s="21"/>
      <c r="C48" s="4"/>
    </row>
    <row r="49" spans="1:12" x14ac:dyDescent="0.2">
      <c r="A49" s="21"/>
      <c r="B49" s="21"/>
      <c r="C49" s="21"/>
    </row>
    <row r="50" spans="1:12" ht="15.75" x14ac:dyDescent="0.25">
      <c r="A50" s="21"/>
      <c r="B50" s="21"/>
      <c r="C50" s="21"/>
      <c r="L50" s="2"/>
    </row>
    <row r="51" spans="1:12" x14ac:dyDescent="0.2">
      <c r="A51" s="21"/>
      <c r="B51" s="21"/>
      <c r="C51" s="21"/>
    </row>
    <row r="52" spans="1:12" x14ac:dyDescent="0.2">
      <c r="A52" s="21"/>
      <c r="B52" s="21"/>
      <c r="C52" s="21"/>
    </row>
    <row r="53" spans="1:12" x14ac:dyDescent="0.2">
      <c r="A53" s="6"/>
      <c r="C53" s="21"/>
    </row>
    <row r="54" spans="1:12" x14ac:dyDescent="0.2">
      <c r="A54" s="6"/>
    </row>
    <row r="55" spans="1:12" x14ac:dyDescent="0.2">
      <c r="A55" s="6"/>
    </row>
    <row r="56" spans="1:12" x14ac:dyDescent="0.2">
      <c r="A56" s="27"/>
    </row>
    <row r="57" spans="1:12" x14ac:dyDescent="0.2">
      <c r="A57" s="27"/>
      <c r="D57" s="4"/>
      <c r="E57" s="4"/>
    </row>
    <row r="58" spans="1:12" x14ac:dyDescent="0.2">
      <c r="A58" s="27"/>
      <c r="D58" s="4"/>
      <c r="E58" s="4"/>
    </row>
    <row r="59" spans="1:12" x14ac:dyDescent="0.2">
      <c r="A59" s="27"/>
      <c r="D59" s="4"/>
      <c r="E59" s="4"/>
    </row>
    <row r="60" spans="1:12" x14ac:dyDescent="0.2">
      <c r="A60" s="27"/>
      <c r="D60" s="4"/>
      <c r="E60" s="4"/>
    </row>
    <row r="61" spans="1:12" x14ac:dyDescent="0.2">
      <c r="A61" s="27"/>
      <c r="D61" s="4"/>
      <c r="E61" s="4"/>
    </row>
    <row r="62" spans="1:12" x14ac:dyDescent="0.2">
      <c r="A62" s="27"/>
      <c r="D62" s="4"/>
      <c r="E62" s="4"/>
    </row>
    <row r="63" spans="1:12" x14ac:dyDescent="0.2">
      <c r="A63" s="27"/>
      <c r="D63" s="4"/>
      <c r="E63" s="4"/>
    </row>
    <row r="64" spans="1:12" x14ac:dyDescent="0.2">
      <c r="A64" s="27"/>
      <c r="D64" s="4"/>
      <c r="E64" s="4"/>
    </row>
    <row r="65" spans="1:5" x14ac:dyDescent="0.2">
      <c r="A65" s="27"/>
      <c r="D65" s="4"/>
      <c r="E65" s="4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6"/>
      <c r="D89" s="4"/>
      <c r="E89" s="4"/>
    </row>
    <row r="90" spans="1:5" x14ac:dyDescent="0.2">
      <c r="A90" s="26"/>
      <c r="D90" s="4"/>
      <c r="E90" s="4"/>
    </row>
    <row r="91" spans="1:5" x14ac:dyDescent="0.2">
      <c r="A91" s="26"/>
      <c r="D91" s="4"/>
      <c r="E91" s="4"/>
    </row>
    <row r="92" spans="1:5" x14ac:dyDescent="0.2">
      <c r="D92" s="4"/>
      <c r="E92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I128"/>
  <sheetViews>
    <sheetView topLeftCell="A46" workbookViewId="0">
      <selection sqref="A1:G90"/>
    </sheetView>
  </sheetViews>
  <sheetFormatPr defaultRowHeight="12.75" x14ac:dyDescent="0.2"/>
  <cols>
    <col min="1" max="1" width="17.42578125" style="436" customWidth="1"/>
    <col min="2" max="2" width="28.7109375" customWidth="1"/>
    <col min="3" max="4" width="12.710937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7" ht="30.75" customHeight="1" thickBot="1" x14ac:dyDescent="0.3">
      <c r="A1" s="1944" t="s">
        <v>540</v>
      </c>
      <c r="B1" s="2005"/>
      <c r="C1" s="2005"/>
      <c r="D1" s="2005"/>
      <c r="E1" s="2005"/>
      <c r="F1" s="2005"/>
      <c r="G1" s="2006"/>
    </row>
    <row r="2" spans="1:7" ht="0.75" customHeight="1" x14ac:dyDescent="0.25">
      <c r="A2" s="430"/>
      <c r="B2" s="37"/>
      <c r="C2" s="4"/>
      <c r="D2" s="4"/>
      <c r="E2" s="4"/>
      <c r="F2" s="4"/>
      <c r="G2" s="71"/>
    </row>
    <row r="3" spans="1:7" ht="0.75" customHeight="1" x14ac:dyDescent="0.2">
      <c r="A3" s="431"/>
      <c r="B3" s="4"/>
      <c r="C3" s="4"/>
      <c r="D3" s="4"/>
      <c r="E3" s="4"/>
      <c r="F3" s="4"/>
      <c r="G3" s="71"/>
    </row>
    <row r="4" spans="1:7" ht="0.75" customHeight="1" x14ac:dyDescent="0.2">
      <c r="A4" s="431"/>
      <c r="B4" s="4"/>
      <c r="C4" s="4"/>
      <c r="D4" s="4"/>
      <c r="E4" s="4"/>
      <c r="F4" s="4"/>
      <c r="G4" s="71"/>
    </row>
    <row r="5" spans="1:7" ht="27.75" customHeight="1" x14ac:dyDescent="0.2">
      <c r="A5" s="437" t="s">
        <v>243</v>
      </c>
      <c r="B5" s="104" t="s">
        <v>253</v>
      </c>
      <c r="C5" s="86" t="s">
        <v>58</v>
      </c>
      <c r="D5" s="86" t="s">
        <v>93</v>
      </c>
      <c r="E5" s="86" t="s">
        <v>94</v>
      </c>
      <c r="F5" s="86" t="s">
        <v>416</v>
      </c>
      <c r="G5" s="143" t="s">
        <v>54</v>
      </c>
    </row>
    <row r="6" spans="1:7" ht="12" customHeight="1" x14ac:dyDescent="0.2">
      <c r="A6" s="654" t="s">
        <v>256</v>
      </c>
      <c r="B6" s="781" t="s">
        <v>257</v>
      </c>
      <c r="C6" s="354"/>
      <c r="D6" s="354"/>
      <c r="E6" s="354"/>
      <c r="F6" s="354"/>
      <c r="G6" s="355"/>
    </row>
    <row r="7" spans="1:7" ht="12" customHeight="1" thickBot="1" x14ac:dyDescent="0.25">
      <c r="A7" s="823"/>
      <c r="B7" s="824" t="s">
        <v>392</v>
      </c>
      <c r="C7" s="825">
        <v>10897</v>
      </c>
      <c r="D7" s="825">
        <v>3060</v>
      </c>
      <c r="E7" s="825">
        <v>22524</v>
      </c>
      <c r="F7" s="825">
        <v>2540</v>
      </c>
      <c r="G7" s="831">
        <f t="shared" ref="G7:G20" si="0">SUM(C7:F7)</f>
        <v>39021</v>
      </c>
    </row>
    <row r="8" spans="1:7" ht="0.2" customHeight="1" x14ac:dyDescent="0.2">
      <c r="A8" s="829"/>
      <c r="B8" s="357" t="s">
        <v>393</v>
      </c>
      <c r="C8" s="354">
        <f>10349+37</f>
        <v>10386</v>
      </c>
      <c r="D8" s="354">
        <f>3041+10</f>
        <v>3051</v>
      </c>
      <c r="E8" s="354">
        <v>22523</v>
      </c>
      <c r="F8" s="354">
        <v>1000</v>
      </c>
      <c r="G8" s="830">
        <f t="shared" si="0"/>
        <v>36960</v>
      </c>
    </row>
    <row r="9" spans="1:7" ht="0.2" customHeight="1" thickBot="1" x14ac:dyDescent="0.25">
      <c r="A9" s="823"/>
      <c r="B9" s="824" t="s">
        <v>391</v>
      </c>
      <c r="C9" s="825">
        <v>8285</v>
      </c>
      <c r="D9" s="825">
        <v>1944</v>
      </c>
      <c r="E9" s="825">
        <v>12265</v>
      </c>
      <c r="F9" s="825">
        <v>652</v>
      </c>
      <c r="G9" s="831">
        <f t="shared" ref="G9" si="1">SUM(C9:F9)</f>
        <v>23146</v>
      </c>
    </row>
    <row r="10" spans="1:7" ht="12" customHeight="1" x14ac:dyDescent="0.2">
      <c r="A10" s="657" t="s">
        <v>258</v>
      </c>
      <c r="B10" s="781" t="s">
        <v>259</v>
      </c>
      <c r="C10" s="354"/>
      <c r="D10" s="354"/>
      <c r="E10" s="354"/>
      <c r="F10" s="354"/>
      <c r="G10" s="830"/>
    </row>
    <row r="11" spans="1:7" ht="12" customHeight="1" thickBot="1" x14ac:dyDescent="0.25">
      <c r="A11" s="823"/>
      <c r="B11" s="824" t="s">
        <v>392</v>
      </c>
      <c r="C11" s="825">
        <v>1520</v>
      </c>
      <c r="D11" s="825">
        <v>385</v>
      </c>
      <c r="E11" s="825"/>
      <c r="F11" s="825"/>
      <c r="G11" s="831">
        <f t="shared" si="0"/>
        <v>1905</v>
      </c>
    </row>
    <row r="12" spans="1:7" ht="0.2" customHeight="1" x14ac:dyDescent="0.2">
      <c r="A12" s="829"/>
      <c r="B12" s="357" t="s">
        <v>393</v>
      </c>
      <c r="C12" s="354">
        <f>3758+1840</f>
        <v>5598</v>
      </c>
      <c r="D12" s="354">
        <f>977+497</f>
        <v>1474</v>
      </c>
      <c r="E12" s="354"/>
      <c r="F12" s="354"/>
      <c r="G12" s="830">
        <f t="shared" si="0"/>
        <v>7072</v>
      </c>
    </row>
    <row r="13" spans="1:7" ht="0.2" customHeight="1" thickBot="1" x14ac:dyDescent="0.25">
      <c r="A13" s="823"/>
      <c r="B13" s="824" t="s">
        <v>391</v>
      </c>
      <c r="C13" s="825">
        <v>7613</v>
      </c>
      <c r="D13" s="825">
        <v>1015</v>
      </c>
      <c r="E13" s="825"/>
      <c r="F13" s="825"/>
      <c r="G13" s="831">
        <f t="shared" ref="G13" si="2">SUM(C13:F13)</f>
        <v>8628</v>
      </c>
    </row>
    <row r="14" spans="1:7" ht="12" customHeight="1" x14ac:dyDescent="0.2">
      <c r="A14" s="657" t="s">
        <v>260</v>
      </c>
      <c r="B14" s="781" t="s">
        <v>261</v>
      </c>
      <c r="C14" s="354"/>
      <c r="D14" s="354"/>
      <c r="E14" s="354"/>
      <c r="F14" s="354"/>
      <c r="G14" s="830"/>
    </row>
    <row r="15" spans="1:7" ht="12" customHeight="1" thickBot="1" x14ac:dyDescent="0.25">
      <c r="A15" s="823"/>
      <c r="B15" s="824" t="s">
        <v>392</v>
      </c>
      <c r="C15" s="825"/>
      <c r="D15" s="825"/>
      <c r="E15" s="825">
        <v>1524</v>
      </c>
      <c r="F15" s="825"/>
      <c r="G15" s="831">
        <f t="shared" si="0"/>
        <v>1524</v>
      </c>
    </row>
    <row r="16" spans="1:7" ht="0.2" customHeight="1" x14ac:dyDescent="0.2">
      <c r="A16" s="829"/>
      <c r="B16" s="357" t="s">
        <v>393</v>
      </c>
      <c r="C16" s="354"/>
      <c r="D16" s="354"/>
      <c r="E16" s="354">
        <v>1524</v>
      </c>
      <c r="F16" s="354"/>
      <c r="G16" s="830">
        <f t="shared" si="0"/>
        <v>1524</v>
      </c>
    </row>
    <row r="17" spans="1:9" ht="0.2" customHeight="1" thickBot="1" x14ac:dyDescent="0.25">
      <c r="A17" s="823"/>
      <c r="B17" s="824" t="s">
        <v>391</v>
      </c>
      <c r="C17" s="825"/>
      <c r="D17" s="825"/>
      <c r="E17" s="825">
        <v>157</v>
      </c>
      <c r="F17" s="825"/>
      <c r="G17" s="831">
        <f t="shared" ref="G17" si="3">SUM(C17:F17)</f>
        <v>157</v>
      </c>
    </row>
    <row r="18" spans="1:9" ht="12" customHeight="1" x14ac:dyDescent="0.2">
      <c r="A18" s="687" t="s">
        <v>262</v>
      </c>
      <c r="B18" s="818" t="s">
        <v>56</v>
      </c>
      <c r="C18" s="315"/>
      <c r="D18" s="315"/>
      <c r="E18" s="315"/>
      <c r="F18" s="315"/>
      <c r="G18" s="830"/>
    </row>
    <row r="19" spans="1:9" ht="12" customHeight="1" thickBot="1" x14ac:dyDescent="0.25">
      <c r="A19" s="727"/>
      <c r="B19" s="816" t="s">
        <v>392</v>
      </c>
      <c r="C19" s="728">
        <v>26077</v>
      </c>
      <c r="D19" s="728">
        <v>7545</v>
      </c>
      <c r="E19" s="728">
        <v>15815</v>
      </c>
      <c r="F19" s="728">
        <v>1397</v>
      </c>
      <c r="G19" s="831">
        <f t="shared" si="0"/>
        <v>50834</v>
      </c>
    </row>
    <row r="20" spans="1:9" ht="0.2" customHeight="1" x14ac:dyDescent="0.2">
      <c r="A20" s="808"/>
      <c r="B20" s="819" t="s">
        <v>393</v>
      </c>
      <c r="C20" s="317">
        <f>24621+19</f>
        <v>24640</v>
      </c>
      <c r="D20" s="317">
        <f>7098+5</f>
        <v>7103</v>
      </c>
      <c r="E20" s="317">
        <v>14822</v>
      </c>
      <c r="F20" s="317">
        <f>400+200</f>
        <v>600</v>
      </c>
      <c r="G20" s="830">
        <f t="shared" si="0"/>
        <v>47165</v>
      </c>
    </row>
    <row r="21" spans="1:9" ht="0.2" customHeight="1" thickBot="1" x14ac:dyDescent="0.25">
      <c r="A21" s="727"/>
      <c r="B21" s="357" t="s">
        <v>391</v>
      </c>
      <c r="C21" s="317">
        <v>19213</v>
      </c>
      <c r="D21" s="317">
        <v>6104</v>
      </c>
      <c r="E21" s="317">
        <v>8418</v>
      </c>
      <c r="F21" s="317">
        <v>347</v>
      </c>
      <c r="G21" s="831">
        <f t="shared" ref="G21" si="4">SUM(C21:F21)</f>
        <v>34082</v>
      </c>
    </row>
    <row r="22" spans="1:9" ht="12" customHeight="1" x14ac:dyDescent="0.2">
      <c r="A22" s="2009" t="s">
        <v>97</v>
      </c>
      <c r="B22" s="2010"/>
      <c r="C22" s="792"/>
      <c r="D22" s="792"/>
      <c r="E22" s="792"/>
      <c r="F22" s="792"/>
      <c r="G22" s="355"/>
      <c r="I22" s="95"/>
    </row>
    <row r="23" spans="1:9" ht="12" customHeight="1" thickBot="1" x14ac:dyDescent="0.25">
      <c r="A23" s="794"/>
      <c r="B23" s="833" t="s">
        <v>392</v>
      </c>
      <c r="C23" s="1709">
        <f t="shared" ref="C23:G25" si="5">C7+C11+C15+C19</f>
        <v>38494</v>
      </c>
      <c r="D23" s="1709">
        <f t="shared" si="5"/>
        <v>10990</v>
      </c>
      <c r="E23" s="1709">
        <f t="shared" si="5"/>
        <v>39863</v>
      </c>
      <c r="F23" s="1709">
        <f t="shared" si="5"/>
        <v>3937</v>
      </c>
      <c r="G23" s="1711">
        <f t="shared" si="5"/>
        <v>93284</v>
      </c>
      <c r="I23" s="95"/>
    </row>
    <row r="24" spans="1:9" ht="0.2" customHeight="1" x14ac:dyDescent="0.2">
      <c r="A24" s="1729"/>
      <c r="B24" s="1744" t="s">
        <v>393</v>
      </c>
      <c r="C24" s="754">
        <f t="shared" si="5"/>
        <v>40624</v>
      </c>
      <c r="D24" s="754">
        <f t="shared" si="5"/>
        <v>11628</v>
      </c>
      <c r="E24" s="754">
        <f t="shared" si="5"/>
        <v>38869</v>
      </c>
      <c r="F24" s="754">
        <f t="shared" si="5"/>
        <v>1600</v>
      </c>
      <c r="G24" s="799">
        <f t="shared" si="5"/>
        <v>92721</v>
      </c>
      <c r="I24" s="95"/>
    </row>
    <row r="25" spans="1:9" ht="0.2" customHeight="1" x14ac:dyDescent="0.2">
      <c r="A25" s="790"/>
      <c r="B25" s="832" t="s">
        <v>391</v>
      </c>
      <c r="C25" s="745">
        <f t="shared" si="5"/>
        <v>35111</v>
      </c>
      <c r="D25" s="745">
        <f t="shared" si="5"/>
        <v>9063</v>
      </c>
      <c r="E25" s="745">
        <f t="shared" si="5"/>
        <v>20840</v>
      </c>
      <c r="F25" s="745">
        <f t="shared" si="5"/>
        <v>999</v>
      </c>
      <c r="G25" s="746">
        <f t="shared" si="5"/>
        <v>66013</v>
      </c>
      <c r="I25" s="95"/>
    </row>
    <row r="26" spans="1:9" ht="0.2" customHeight="1" x14ac:dyDescent="0.2">
      <c r="A26" s="790"/>
      <c r="B26" s="832" t="s">
        <v>498</v>
      </c>
      <c r="C26" s="1188">
        <f>SUM(C25)/C24</f>
        <v>0.86429204411185501</v>
      </c>
      <c r="D26" s="1188">
        <f t="shared" ref="D26:G26" si="6">SUM(D25)/D24</f>
        <v>0.77941176470588236</v>
      </c>
      <c r="E26" s="1188">
        <f t="shared" si="6"/>
        <v>0.53615992178857186</v>
      </c>
      <c r="F26" s="1188">
        <f t="shared" si="6"/>
        <v>0.62437500000000001</v>
      </c>
      <c r="G26" s="1188">
        <f t="shared" si="6"/>
        <v>0.71195306349154996</v>
      </c>
      <c r="I26" s="95"/>
    </row>
    <row r="27" spans="1:9" ht="6" customHeight="1" x14ac:dyDescent="0.2">
      <c r="A27" s="433"/>
      <c r="B27" s="68"/>
      <c r="C27" s="4"/>
      <c r="D27" s="4"/>
      <c r="E27" s="4"/>
      <c r="F27" s="4"/>
      <c r="G27" s="71"/>
    </row>
    <row r="28" spans="1:9" ht="31.5" customHeight="1" x14ac:dyDescent="0.2">
      <c r="A28" s="437" t="s">
        <v>243</v>
      </c>
      <c r="B28" s="104" t="s">
        <v>253</v>
      </c>
      <c r="C28" s="86" t="s">
        <v>98</v>
      </c>
      <c r="D28" s="86" t="s">
        <v>503</v>
      </c>
      <c r="E28" s="86" t="s">
        <v>332</v>
      </c>
      <c r="F28" s="86"/>
      <c r="G28" s="143"/>
    </row>
    <row r="29" spans="1:9" ht="12" customHeight="1" x14ac:dyDescent="0.2">
      <c r="A29" s="654" t="s">
        <v>256</v>
      </c>
      <c r="B29" s="781" t="s">
        <v>257</v>
      </c>
      <c r="C29" s="354"/>
      <c r="D29" s="354"/>
      <c r="E29" s="354"/>
      <c r="F29" s="354"/>
      <c r="G29" s="355"/>
    </row>
    <row r="30" spans="1:9" ht="12" customHeight="1" thickBot="1" x14ac:dyDescent="0.25">
      <c r="A30" s="823"/>
      <c r="B30" s="824" t="s">
        <v>392</v>
      </c>
      <c r="C30" s="825">
        <v>300</v>
      </c>
      <c r="D30" s="825"/>
      <c r="E30" s="825"/>
      <c r="F30" s="825"/>
      <c r="G30" s="831">
        <f t="shared" ref="G30:G35" si="7">SUM(C30:F30)</f>
        <v>300</v>
      </c>
    </row>
    <row r="31" spans="1:9" ht="0.2" customHeight="1" x14ac:dyDescent="0.2">
      <c r="A31" s="829"/>
      <c r="B31" s="357" t="s">
        <v>393</v>
      </c>
      <c r="C31" s="354">
        <v>300</v>
      </c>
      <c r="D31" s="354"/>
      <c r="E31" s="354"/>
      <c r="F31" s="354"/>
      <c r="G31" s="830">
        <f t="shared" si="7"/>
        <v>300</v>
      </c>
    </row>
    <row r="32" spans="1:9" ht="0.2" customHeight="1" thickBot="1" x14ac:dyDescent="0.25">
      <c r="A32" s="823"/>
      <c r="B32" s="824" t="s">
        <v>391</v>
      </c>
      <c r="C32" s="825">
        <v>314</v>
      </c>
      <c r="D32" s="825"/>
      <c r="E32" s="825"/>
      <c r="F32" s="825"/>
      <c r="G32" s="831">
        <f t="shared" ref="G32" si="8">SUM(C32:F32)</f>
        <v>314</v>
      </c>
    </row>
    <row r="33" spans="1:9" ht="12" customHeight="1" x14ac:dyDescent="0.2">
      <c r="A33" s="657" t="s">
        <v>305</v>
      </c>
      <c r="B33" s="781" t="s">
        <v>307</v>
      </c>
      <c r="C33" s="354"/>
      <c r="D33" s="356"/>
      <c r="E33" s="354"/>
      <c r="F33" s="354"/>
      <c r="G33" s="830"/>
    </row>
    <row r="34" spans="1:9" ht="12" customHeight="1" thickBot="1" x14ac:dyDescent="0.25">
      <c r="A34" s="823"/>
      <c r="B34" s="824" t="s">
        <v>392</v>
      </c>
      <c r="C34" s="825"/>
      <c r="D34" s="788">
        <f>G23-C30</f>
        <v>92984</v>
      </c>
      <c r="E34" s="825"/>
      <c r="F34" s="825"/>
      <c r="G34" s="831">
        <f t="shared" si="7"/>
        <v>92984</v>
      </c>
    </row>
    <row r="35" spans="1:9" ht="0.2" customHeight="1" x14ac:dyDescent="0.2">
      <c r="A35" s="1745"/>
      <c r="B35" s="1746" t="s">
        <v>393</v>
      </c>
      <c r="C35" s="354"/>
      <c r="D35" s="356">
        <f>G24-C31</f>
        <v>92421</v>
      </c>
      <c r="E35" s="354"/>
      <c r="F35" s="354"/>
      <c r="G35" s="830">
        <f t="shared" si="7"/>
        <v>92421</v>
      </c>
    </row>
    <row r="36" spans="1:9" ht="0.2" customHeight="1" thickBot="1" x14ac:dyDescent="0.25">
      <c r="A36" s="823"/>
      <c r="B36" s="824" t="s">
        <v>391</v>
      </c>
      <c r="C36" s="825"/>
      <c r="D36" s="788">
        <v>66464</v>
      </c>
      <c r="E36" s="825"/>
      <c r="F36" s="825"/>
      <c r="G36" s="831">
        <f t="shared" ref="G36" si="9">SUM(C36:F36)</f>
        <v>66464</v>
      </c>
    </row>
    <row r="37" spans="1:9" ht="12" customHeight="1" x14ac:dyDescent="0.2">
      <c r="A37" s="687" t="s">
        <v>262</v>
      </c>
      <c r="B37" s="818" t="s">
        <v>56</v>
      </c>
      <c r="C37" s="315"/>
      <c r="D37" s="315"/>
      <c r="E37" s="315"/>
      <c r="F37" s="315"/>
      <c r="G37" s="830"/>
    </row>
    <row r="38" spans="1:9" ht="12" customHeight="1" thickBot="1" x14ac:dyDescent="0.25">
      <c r="A38" s="727"/>
      <c r="B38" s="816" t="s">
        <v>392</v>
      </c>
      <c r="C38" s="728"/>
      <c r="D38" s="728"/>
      <c r="E38" s="728"/>
      <c r="F38" s="728"/>
      <c r="G38" s="830">
        <f t="shared" ref="G38:G40" si="10">SUM(C38:F38)</f>
        <v>0</v>
      </c>
    </row>
    <row r="39" spans="1:9" ht="0.2" customHeight="1" x14ac:dyDescent="0.2">
      <c r="A39" s="808"/>
      <c r="B39" s="819" t="s">
        <v>393</v>
      </c>
      <c r="C39" s="317"/>
      <c r="D39" s="317"/>
      <c r="E39" s="317"/>
      <c r="F39" s="317"/>
      <c r="G39" s="830">
        <f t="shared" si="10"/>
        <v>0</v>
      </c>
    </row>
    <row r="40" spans="1:9" ht="0.2" customHeight="1" thickBot="1" x14ac:dyDescent="0.25">
      <c r="A40" s="727"/>
      <c r="B40" s="357" t="s">
        <v>391</v>
      </c>
      <c r="C40" s="317">
        <v>209</v>
      </c>
      <c r="D40" s="317"/>
      <c r="E40" s="317"/>
      <c r="F40" s="317"/>
      <c r="G40" s="831">
        <f t="shared" si="10"/>
        <v>209</v>
      </c>
    </row>
    <row r="41" spans="1:9" ht="12" customHeight="1" x14ac:dyDescent="0.2">
      <c r="A41" s="2009" t="s">
        <v>99</v>
      </c>
      <c r="B41" s="2010"/>
      <c r="C41" s="792"/>
      <c r="D41" s="792"/>
      <c r="E41" s="792"/>
      <c r="F41" s="792"/>
      <c r="G41" s="827"/>
      <c r="H41" s="4"/>
      <c r="I41" s="159"/>
    </row>
    <row r="42" spans="1:9" ht="12" customHeight="1" thickBot="1" x14ac:dyDescent="0.25">
      <c r="A42" s="794"/>
      <c r="B42" s="833" t="s">
        <v>392</v>
      </c>
      <c r="C42" s="1709">
        <f t="shared" ref="C42:G43" si="11">C30+C34</f>
        <v>300</v>
      </c>
      <c r="D42" s="1709">
        <f t="shared" si="11"/>
        <v>92984</v>
      </c>
      <c r="E42" s="1709">
        <f t="shared" si="11"/>
        <v>0</v>
      </c>
      <c r="F42" s="1709">
        <f t="shared" si="11"/>
        <v>0</v>
      </c>
      <c r="G42" s="1711">
        <f t="shared" si="11"/>
        <v>93284</v>
      </c>
      <c r="H42" s="4"/>
      <c r="I42" s="159"/>
    </row>
    <row r="43" spans="1:9" ht="0.2" customHeight="1" x14ac:dyDescent="0.2">
      <c r="A43" s="1729"/>
      <c r="B43" s="1744" t="s">
        <v>393</v>
      </c>
      <c r="C43" s="754">
        <f t="shared" si="11"/>
        <v>300</v>
      </c>
      <c r="D43" s="754">
        <f t="shared" si="11"/>
        <v>92421</v>
      </c>
      <c r="E43" s="754">
        <f t="shared" si="11"/>
        <v>0</v>
      </c>
      <c r="F43" s="754">
        <f t="shared" si="11"/>
        <v>0</v>
      </c>
      <c r="G43" s="799">
        <f t="shared" si="11"/>
        <v>92721</v>
      </c>
      <c r="H43" s="4"/>
      <c r="I43" s="159"/>
    </row>
    <row r="44" spans="1:9" ht="0.2" customHeight="1" x14ac:dyDescent="0.2">
      <c r="A44" s="1155"/>
      <c r="B44" s="1187" t="s">
        <v>391</v>
      </c>
      <c r="C44" s="745">
        <f>C32+C36+C40</f>
        <v>523</v>
      </c>
      <c r="D44" s="745">
        <f>D32+D36</f>
        <v>66464</v>
      </c>
      <c r="E44" s="745">
        <f>E32+E36</f>
        <v>0</v>
      </c>
      <c r="F44" s="745">
        <f>F32+F36</f>
        <v>0</v>
      </c>
      <c r="G44" s="746">
        <f>G32+G36+G40</f>
        <v>66987</v>
      </c>
      <c r="H44" s="4"/>
      <c r="I44" s="159"/>
    </row>
    <row r="45" spans="1:9" ht="0.2" customHeight="1" thickBot="1" x14ac:dyDescent="0.25">
      <c r="A45" s="794"/>
      <c r="B45" s="833" t="s">
        <v>498</v>
      </c>
      <c r="C45" s="1159">
        <f>SUM(C44)/C43</f>
        <v>1.7433333333333334</v>
      </c>
      <c r="D45" s="1159">
        <f t="shared" ref="D45:G45" si="12">SUM(D44)/D43</f>
        <v>0.71914391750792572</v>
      </c>
      <c r="E45" s="1159"/>
      <c r="F45" s="1159"/>
      <c r="G45" s="1159">
        <f t="shared" si="12"/>
        <v>0.72245769566764806</v>
      </c>
      <c r="H45" s="4"/>
      <c r="I45" s="159"/>
    </row>
    <row r="46" spans="1:9" ht="13.5" customHeight="1" x14ac:dyDescent="0.2">
      <c r="A46" s="778"/>
      <c r="B46" s="725"/>
      <c r="C46" s="726"/>
      <c r="D46" s="726"/>
      <c r="E46" s="726"/>
      <c r="F46" s="726"/>
      <c r="G46" s="729"/>
      <c r="H46" s="4"/>
      <c r="I46" s="159"/>
    </row>
    <row r="47" spans="1:9" ht="13.5" thickBot="1" x14ac:dyDescent="0.25">
      <c r="A47" s="434"/>
      <c r="B47" s="4"/>
      <c r="C47" s="4"/>
      <c r="D47" s="4"/>
      <c r="E47" s="4"/>
      <c r="F47" s="4"/>
      <c r="G47" s="4"/>
      <c r="H47" s="4"/>
      <c r="I47" s="4"/>
    </row>
    <row r="48" spans="1:9" ht="34.5" customHeight="1" thickBot="1" x14ac:dyDescent="0.3">
      <c r="A48" s="1944" t="s">
        <v>541</v>
      </c>
      <c r="B48" s="2005"/>
      <c r="C48" s="2005"/>
      <c r="D48" s="2005"/>
      <c r="E48" s="2005"/>
      <c r="F48" s="2005"/>
      <c r="G48" s="2006"/>
      <c r="H48" s="4"/>
      <c r="I48" s="4"/>
    </row>
    <row r="49" spans="1:9" ht="31.5" x14ac:dyDescent="0.2">
      <c r="A49" s="437" t="s">
        <v>243</v>
      </c>
      <c r="B49" s="104" t="s">
        <v>253</v>
      </c>
      <c r="C49" s="86" t="s">
        <v>58</v>
      </c>
      <c r="D49" s="86" t="s">
        <v>93</v>
      </c>
      <c r="E49" s="86" t="s">
        <v>94</v>
      </c>
      <c r="F49" s="86" t="s">
        <v>416</v>
      </c>
      <c r="G49" s="143" t="s">
        <v>54</v>
      </c>
      <c r="H49" s="4"/>
      <c r="I49" s="4"/>
    </row>
    <row r="50" spans="1:9" ht="12" customHeight="1" x14ac:dyDescent="0.2">
      <c r="A50" s="2007" t="s">
        <v>184</v>
      </c>
      <c r="B50" s="2008"/>
      <c r="C50" s="361"/>
      <c r="D50" s="361"/>
      <c r="E50" s="361"/>
      <c r="F50" s="361"/>
      <c r="G50" s="362"/>
      <c r="H50" s="4"/>
      <c r="I50" s="4"/>
    </row>
    <row r="51" spans="1:9" ht="12" customHeight="1" x14ac:dyDescent="0.2">
      <c r="A51" s="438" t="s">
        <v>260</v>
      </c>
      <c r="B51" s="357" t="s">
        <v>261</v>
      </c>
      <c r="C51" s="354"/>
      <c r="D51" s="354"/>
      <c r="E51" s="354"/>
      <c r="F51" s="354"/>
      <c r="G51" s="830">
        <f>SUM(C51:F51)</f>
        <v>0</v>
      </c>
    </row>
    <row r="52" spans="1:9" ht="12" customHeight="1" thickBot="1" x14ac:dyDescent="0.25">
      <c r="A52" s="823"/>
      <c r="B52" s="824" t="s">
        <v>392</v>
      </c>
      <c r="C52" s="825"/>
      <c r="D52" s="825"/>
      <c r="E52" s="825">
        <f>E15</f>
        <v>1524</v>
      </c>
      <c r="F52" s="825"/>
      <c r="G52" s="831">
        <f t="shared" ref="G52:G67" si="13">SUM(C52:F52)</f>
        <v>1524</v>
      </c>
    </row>
    <row r="53" spans="1:9" ht="0.2" customHeight="1" x14ac:dyDescent="0.2">
      <c r="A53" s="829"/>
      <c r="B53" s="357" t="s">
        <v>393</v>
      </c>
      <c r="C53" s="354"/>
      <c r="D53" s="354"/>
      <c r="E53" s="354">
        <f>E16</f>
        <v>1524</v>
      </c>
      <c r="F53" s="354"/>
      <c r="G53" s="830">
        <f t="shared" si="13"/>
        <v>1524</v>
      </c>
    </row>
    <row r="54" spans="1:9" ht="0.2" customHeight="1" thickBot="1" x14ac:dyDescent="0.25">
      <c r="A54" s="823"/>
      <c r="B54" s="824" t="s">
        <v>391</v>
      </c>
      <c r="C54" s="825"/>
      <c r="D54" s="825"/>
      <c r="E54" s="825">
        <f>E17</f>
        <v>157</v>
      </c>
      <c r="F54" s="825"/>
      <c r="G54" s="831">
        <f t="shared" ref="G54" si="14">SUM(C54:F54)</f>
        <v>157</v>
      </c>
    </row>
    <row r="55" spans="1:9" ht="12" customHeight="1" x14ac:dyDescent="0.2">
      <c r="A55" s="432" t="s">
        <v>262</v>
      </c>
      <c r="B55" s="89" t="s">
        <v>56</v>
      </c>
      <c r="C55" s="315"/>
      <c r="D55" s="315"/>
      <c r="E55" s="315"/>
      <c r="F55" s="315"/>
      <c r="G55" s="830"/>
    </row>
    <row r="56" spans="1:9" ht="12" customHeight="1" thickBot="1" x14ac:dyDescent="0.25">
      <c r="A56" s="769"/>
      <c r="B56" s="824" t="s">
        <v>392</v>
      </c>
      <c r="C56" s="1748">
        <f t="shared" ref="C56:E58" si="15">C19</f>
        <v>26077</v>
      </c>
      <c r="D56" s="1748">
        <f t="shared" si="15"/>
        <v>7545</v>
      </c>
      <c r="E56" s="1748">
        <f t="shared" si="15"/>
        <v>15815</v>
      </c>
      <c r="F56" s="1748">
        <f>SUM(F19)</f>
        <v>1397</v>
      </c>
      <c r="G56" s="831">
        <f t="shared" si="13"/>
        <v>50834</v>
      </c>
    </row>
    <row r="57" spans="1:9" ht="0.2" customHeight="1" x14ac:dyDescent="0.2">
      <c r="A57" s="1747"/>
      <c r="B57" s="1746" t="s">
        <v>393</v>
      </c>
      <c r="C57" s="315">
        <f t="shared" si="15"/>
        <v>24640</v>
      </c>
      <c r="D57" s="315">
        <f t="shared" si="15"/>
        <v>7103</v>
      </c>
      <c r="E57" s="315">
        <f t="shared" si="15"/>
        <v>14822</v>
      </c>
      <c r="F57" s="315">
        <f>SUM(F20)</f>
        <v>600</v>
      </c>
      <c r="G57" s="830">
        <f t="shared" si="13"/>
        <v>47165</v>
      </c>
    </row>
    <row r="58" spans="1:9" ht="0.2" customHeight="1" thickBot="1" x14ac:dyDescent="0.25">
      <c r="A58" s="769"/>
      <c r="B58" s="826" t="s">
        <v>391</v>
      </c>
      <c r="C58" s="740">
        <f t="shared" si="15"/>
        <v>19213</v>
      </c>
      <c r="D58" s="740">
        <f t="shared" si="15"/>
        <v>6104</v>
      </c>
      <c r="E58" s="740">
        <f t="shared" si="15"/>
        <v>8418</v>
      </c>
      <c r="F58" s="740">
        <f>SUM(F21)</f>
        <v>347</v>
      </c>
      <c r="G58" s="831">
        <f t="shared" ref="G58" si="16">SUM(C58:F58)</f>
        <v>34082</v>
      </c>
    </row>
    <row r="59" spans="1:9" ht="12" customHeight="1" x14ac:dyDescent="0.2">
      <c r="A59" s="828"/>
      <c r="B59" s="10"/>
      <c r="G59" s="830"/>
      <c r="H59" s="4"/>
      <c r="I59" s="4"/>
    </row>
    <row r="60" spans="1:9" ht="12" customHeight="1" x14ac:dyDescent="0.2">
      <c r="A60" s="2017" t="s">
        <v>186</v>
      </c>
      <c r="B60" s="2018"/>
      <c r="C60" s="317"/>
      <c r="D60" s="317"/>
      <c r="E60" s="317"/>
      <c r="F60" s="317"/>
      <c r="G60" s="830"/>
      <c r="H60" s="4"/>
      <c r="I60" s="4"/>
    </row>
    <row r="61" spans="1:9" ht="12" customHeight="1" x14ac:dyDescent="0.2">
      <c r="A61" s="438" t="s">
        <v>256</v>
      </c>
      <c r="B61" s="357" t="s">
        <v>257</v>
      </c>
      <c r="C61" s="354"/>
      <c r="D61" s="354"/>
      <c r="E61" s="354"/>
      <c r="F61" s="354"/>
      <c r="G61" s="830"/>
    </row>
    <row r="62" spans="1:9" ht="12" customHeight="1" thickBot="1" x14ac:dyDescent="0.25">
      <c r="A62" s="823"/>
      <c r="B62" s="824" t="s">
        <v>392</v>
      </c>
      <c r="C62" s="825">
        <f t="shared" ref="C62:E64" si="17">C7</f>
        <v>10897</v>
      </c>
      <c r="D62" s="825">
        <f t="shared" si="17"/>
        <v>3060</v>
      </c>
      <c r="E62" s="825">
        <f t="shared" si="17"/>
        <v>22524</v>
      </c>
      <c r="F62" s="825">
        <f>SUM(F7)</f>
        <v>2540</v>
      </c>
      <c r="G62" s="831">
        <f t="shared" si="13"/>
        <v>39021</v>
      </c>
    </row>
    <row r="63" spans="1:9" ht="0.2" customHeight="1" x14ac:dyDescent="0.2">
      <c r="A63" s="829"/>
      <c r="B63" s="357" t="s">
        <v>393</v>
      </c>
      <c r="C63" s="354">
        <f t="shared" si="17"/>
        <v>10386</v>
      </c>
      <c r="D63" s="354">
        <f t="shared" si="17"/>
        <v>3051</v>
      </c>
      <c r="E63" s="354">
        <f t="shared" si="17"/>
        <v>22523</v>
      </c>
      <c r="F63" s="354">
        <f>SUM(F8)</f>
        <v>1000</v>
      </c>
      <c r="G63" s="830">
        <f t="shared" si="13"/>
        <v>36960</v>
      </c>
    </row>
    <row r="64" spans="1:9" ht="0.2" customHeight="1" thickBot="1" x14ac:dyDescent="0.25">
      <c r="A64" s="823"/>
      <c r="B64" s="824" t="s">
        <v>391</v>
      </c>
      <c r="C64" s="825">
        <f t="shared" si="17"/>
        <v>8285</v>
      </c>
      <c r="D64" s="825">
        <f t="shared" si="17"/>
        <v>1944</v>
      </c>
      <c r="E64" s="825">
        <f t="shared" si="17"/>
        <v>12265</v>
      </c>
      <c r="F64" s="825">
        <f>SUM(F9)</f>
        <v>652</v>
      </c>
      <c r="G64" s="831">
        <f t="shared" ref="G64" si="18">SUM(C64:F64)</f>
        <v>23146</v>
      </c>
    </row>
    <row r="65" spans="1:9" ht="12" customHeight="1" x14ac:dyDescent="0.2">
      <c r="A65" s="829" t="s">
        <v>258</v>
      </c>
      <c r="B65" s="357" t="s">
        <v>259</v>
      </c>
      <c r="C65" s="354"/>
      <c r="D65" s="354"/>
      <c r="E65" s="354"/>
      <c r="F65" s="354"/>
      <c r="G65" s="830"/>
    </row>
    <row r="66" spans="1:9" ht="12" customHeight="1" thickBot="1" x14ac:dyDescent="0.25">
      <c r="A66" s="823"/>
      <c r="B66" s="824" t="s">
        <v>392</v>
      </c>
      <c r="C66" s="825">
        <f t="shared" ref="C66:D68" si="19">C11</f>
        <v>1520</v>
      </c>
      <c r="D66" s="825">
        <f t="shared" si="19"/>
        <v>385</v>
      </c>
      <c r="E66" s="825"/>
      <c r="F66" s="825"/>
      <c r="G66" s="831">
        <f t="shared" si="13"/>
        <v>1905</v>
      </c>
    </row>
    <row r="67" spans="1:9" ht="0.2" customHeight="1" thickBot="1" x14ac:dyDescent="0.25">
      <c r="A67" s="815"/>
      <c r="B67" s="357" t="s">
        <v>393</v>
      </c>
      <c r="C67" s="354">
        <f t="shared" si="19"/>
        <v>5598</v>
      </c>
      <c r="D67" s="354">
        <f t="shared" si="19"/>
        <v>1474</v>
      </c>
      <c r="E67" s="354"/>
      <c r="F67" s="354"/>
      <c r="G67" s="830">
        <f t="shared" si="13"/>
        <v>7072</v>
      </c>
    </row>
    <row r="68" spans="1:9" ht="0.2" customHeight="1" thickBot="1" x14ac:dyDescent="0.25">
      <c r="A68" s="815"/>
      <c r="B68" s="357" t="s">
        <v>391</v>
      </c>
      <c r="C68" s="825">
        <f t="shared" si="19"/>
        <v>7613</v>
      </c>
      <c r="D68" s="825">
        <f t="shared" si="19"/>
        <v>1015</v>
      </c>
      <c r="E68" s="825"/>
      <c r="F68" s="825"/>
      <c r="G68" s="831">
        <f t="shared" ref="G68" si="20">SUM(C68:F68)</f>
        <v>8628</v>
      </c>
    </row>
    <row r="69" spans="1:9" ht="12" customHeight="1" thickBot="1" x14ac:dyDescent="0.25">
      <c r="A69" s="2013" t="s">
        <v>97</v>
      </c>
      <c r="B69" s="2014"/>
      <c r="C69" s="755"/>
      <c r="D69" s="755"/>
      <c r="E69" s="755"/>
      <c r="F69" s="755"/>
      <c r="G69" s="1749"/>
      <c r="H69" s="4"/>
      <c r="I69" s="4"/>
    </row>
    <row r="70" spans="1:9" ht="12" customHeight="1" thickBot="1" x14ac:dyDescent="0.25">
      <c r="A70" s="1750"/>
      <c r="B70" s="1751" t="s">
        <v>392</v>
      </c>
      <c r="C70" s="1714">
        <f t="shared" ref="C70:G72" si="21">C52+C56+C62+C66</f>
        <v>38494</v>
      </c>
      <c r="D70" s="1714">
        <f t="shared" si="21"/>
        <v>10990</v>
      </c>
      <c r="E70" s="1714">
        <f t="shared" si="21"/>
        <v>39863</v>
      </c>
      <c r="F70" s="1714">
        <f t="shared" si="21"/>
        <v>3937</v>
      </c>
      <c r="G70" s="1714">
        <f t="shared" si="21"/>
        <v>93284</v>
      </c>
      <c r="H70" s="4"/>
      <c r="I70" s="4"/>
    </row>
    <row r="71" spans="1:9" ht="0.2" customHeight="1" x14ac:dyDescent="0.2">
      <c r="A71" s="1729"/>
      <c r="B71" s="1744" t="s">
        <v>393</v>
      </c>
      <c r="C71" s="754">
        <f t="shared" si="21"/>
        <v>40624</v>
      </c>
      <c r="D71" s="754">
        <f t="shared" si="21"/>
        <v>11628</v>
      </c>
      <c r="E71" s="754">
        <f t="shared" si="21"/>
        <v>38869</v>
      </c>
      <c r="F71" s="754">
        <f t="shared" si="21"/>
        <v>1600</v>
      </c>
      <c r="G71" s="754">
        <f t="shared" si="21"/>
        <v>92721</v>
      </c>
      <c r="H71" s="4"/>
      <c r="I71" s="4"/>
    </row>
    <row r="72" spans="1:9" ht="0.2" customHeight="1" x14ac:dyDescent="0.2">
      <c r="A72" s="790"/>
      <c r="B72" s="832" t="s">
        <v>391</v>
      </c>
      <c r="C72" s="745">
        <f t="shared" si="21"/>
        <v>35111</v>
      </c>
      <c r="D72" s="745">
        <f t="shared" si="21"/>
        <v>9063</v>
      </c>
      <c r="E72" s="745">
        <f t="shared" si="21"/>
        <v>20840</v>
      </c>
      <c r="F72" s="745">
        <f t="shared" si="21"/>
        <v>999</v>
      </c>
      <c r="G72" s="745">
        <f t="shared" si="21"/>
        <v>66013</v>
      </c>
      <c r="H72" s="4"/>
      <c r="I72" s="4"/>
    </row>
    <row r="73" spans="1:9" ht="0.2" customHeight="1" x14ac:dyDescent="0.2">
      <c r="A73" s="790"/>
      <c r="B73" s="832" t="s">
        <v>498</v>
      </c>
      <c r="C73" s="1188">
        <f>SUM(C72)/C71</f>
        <v>0.86429204411185501</v>
      </c>
      <c r="D73" s="1188">
        <f t="shared" ref="D73:G73" si="22">SUM(D72)/D71</f>
        <v>0.77941176470588236</v>
      </c>
      <c r="E73" s="1188">
        <f t="shared" si="22"/>
        <v>0.53615992178857186</v>
      </c>
      <c r="F73" s="1188">
        <f t="shared" si="22"/>
        <v>0.62437500000000001</v>
      </c>
      <c r="G73" s="1188">
        <f t="shared" si="22"/>
        <v>0.71195306349154996</v>
      </c>
      <c r="H73" s="4"/>
      <c r="I73" s="4"/>
    </row>
    <row r="74" spans="1:9" ht="9" customHeight="1" x14ac:dyDescent="0.2">
      <c r="A74" s="433"/>
      <c r="B74" s="68"/>
      <c r="C74" s="4"/>
      <c r="D74" s="4"/>
      <c r="E74" s="4"/>
      <c r="F74" s="4"/>
      <c r="G74" s="423"/>
      <c r="H74" s="4"/>
      <c r="I74" s="4"/>
    </row>
    <row r="75" spans="1:9" ht="33" customHeight="1" x14ac:dyDescent="0.2">
      <c r="A75" s="437" t="s">
        <v>243</v>
      </c>
      <c r="B75" s="104" t="s">
        <v>253</v>
      </c>
      <c r="C75" s="86" t="s">
        <v>98</v>
      </c>
      <c r="D75" s="86" t="s">
        <v>333</v>
      </c>
      <c r="E75" s="86"/>
      <c r="F75" s="86"/>
      <c r="G75" s="143"/>
      <c r="H75" s="4"/>
      <c r="I75" s="4"/>
    </row>
    <row r="76" spans="1:9" ht="12" customHeight="1" x14ac:dyDescent="0.2">
      <c r="A76" s="2017" t="s">
        <v>186</v>
      </c>
      <c r="B76" s="2018"/>
      <c r="C76" s="317"/>
      <c r="D76" s="317"/>
      <c r="E76" s="317"/>
      <c r="F76" s="317"/>
      <c r="G76" s="316"/>
      <c r="H76" s="4"/>
      <c r="I76" s="4"/>
    </row>
    <row r="77" spans="1:9" ht="12" customHeight="1" x14ac:dyDescent="0.2">
      <c r="A77" s="438" t="s">
        <v>256</v>
      </c>
      <c r="B77" s="357" t="s">
        <v>257</v>
      </c>
      <c r="C77" s="354"/>
      <c r="D77" s="354"/>
      <c r="E77" s="354"/>
      <c r="F77" s="354"/>
      <c r="G77" s="355"/>
      <c r="H77" s="4"/>
      <c r="I77" s="4"/>
    </row>
    <row r="78" spans="1:9" ht="12" customHeight="1" thickBot="1" x14ac:dyDescent="0.25">
      <c r="A78" s="823"/>
      <c r="B78" s="1752" t="s">
        <v>392</v>
      </c>
      <c r="C78" s="1753">
        <f>C30</f>
        <v>300</v>
      </c>
      <c r="D78" s="1753"/>
      <c r="E78" s="1753"/>
      <c r="F78" s="1753"/>
      <c r="G78" s="1754">
        <f t="shared" ref="G78:G83" si="23">SUM(C78:F78)</f>
        <v>300</v>
      </c>
      <c r="H78" s="4"/>
      <c r="I78" s="4"/>
    </row>
    <row r="79" spans="1:9" ht="0.2" customHeight="1" x14ac:dyDescent="0.2">
      <c r="A79" s="829"/>
      <c r="B79" s="357" t="s">
        <v>393</v>
      </c>
      <c r="C79" s="354">
        <f>C31</f>
        <v>300</v>
      </c>
      <c r="D79" s="354"/>
      <c r="E79" s="354"/>
      <c r="F79" s="354"/>
      <c r="G79" s="835">
        <f t="shared" si="23"/>
        <v>300</v>
      </c>
      <c r="H79" s="4"/>
      <c r="I79" s="4"/>
    </row>
    <row r="80" spans="1:9" ht="0.2" customHeight="1" thickBot="1" x14ac:dyDescent="0.25">
      <c r="A80" s="823"/>
      <c r="B80" s="824" t="s">
        <v>391</v>
      </c>
      <c r="C80" s="825">
        <f>C32</f>
        <v>314</v>
      </c>
      <c r="D80" s="825"/>
      <c r="E80" s="825"/>
      <c r="F80" s="825"/>
      <c r="G80" s="836">
        <f t="shared" ref="G80" si="24">SUM(C80:F80)</f>
        <v>314</v>
      </c>
      <c r="H80" s="4"/>
      <c r="I80" s="4"/>
    </row>
    <row r="81" spans="1:9" ht="12" customHeight="1" x14ac:dyDescent="0.2">
      <c r="A81" s="829" t="s">
        <v>305</v>
      </c>
      <c r="B81" s="357" t="s">
        <v>307</v>
      </c>
      <c r="C81" s="354"/>
      <c r="D81" s="356"/>
      <c r="E81" s="354"/>
      <c r="F81" s="354"/>
      <c r="G81" s="835"/>
      <c r="H81" s="4"/>
      <c r="I81" s="4"/>
    </row>
    <row r="82" spans="1:9" ht="12" customHeight="1" thickBot="1" x14ac:dyDescent="0.25">
      <c r="A82" s="815"/>
      <c r="B82" s="816" t="s">
        <v>392</v>
      </c>
      <c r="C82" s="817"/>
      <c r="D82" s="822">
        <f>D34</f>
        <v>92984</v>
      </c>
      <c r="E82" s="817"/>
      <c r="F82" s="817"/>
      <c r="G82" s="835">
        <f t="shared" si="23"/>
        <v>92984</v>
      </c>
      <c r="H82" s="4"/>
      <c r="I82" s="4"/>
    </row>
    <row r="83" spans="1:9" ht="0.2" customHeight="1" x14ac:dyDescent="0.2">
      <c r="A83" s="820"/>
      <c r="B83" s="819" t="s">
        <v>393</v>
      </c>
      <c r="C83" s="821"/>
      <c r="D83" s="822">
        <f>D35</f>
        <v>92421</v>
      </c>
      <c r="E83" s="821"/>
      <c r="F83" s="821"/>
      <c r="G83" s="835">
        <f t="shared" si="23"/>
        <v>92421</v>
      </c>
      <c r="H83" s="4"/>
      <c r="I83" s="4"/>
    </row>
    <row r="84" spans="1:9" ht="0.2" customHeight="1" thickBot="1" x14ac:dyDescent="0.25">
      <c r="A84" s="815"/>
      <c r="B84" s="816" t="s">
        <v>391</v>
      </c>
      <c r="C84" s="1189"/>
      <c r="D84" s="1190">
        <f>D36</f>
        <v>66464</v>
      </c>
      <c r="E84" s="1189"/>
      <c r="F84" s="1189"/>
      <c r="G84" s="1191">
        <f t="shared" ref="G84" si="25">SUM(C84:F84)</f>
        <v>66464</v>
      </c>
      <c r="H84" s="4"/>
      <c r="I84" s="4"/>
    </row>
    <row r="85" spans="1:9" ht="12" customHeight="1" x14ac:dyDescent="0.2">
      <c r="A85" s="1653" t="s">
        <v>262</v>
      </c>
      <c r="B85" s="1755" t="s">
        <v>56</v>
      </c>
      <c r="C85" s="1175"/>
      <c r="D85" s="1175"/>
      <c r="E85" s="1175"/>
      <c r="F85" s="1175"/>
      <c r="G85" s="1192"/>
      <c r="H85" s="4"/>
      <c r="I85" s="4"/>
    </row>
    <row r="86" spans="1:9" ht="12" customHeight="1" thickBot="1" x14ac:dyDescent="0.25">
      <c r="A86" s="727"/>
      <c r="B86" s="816" t="s">
        <v>392</v>
      </c>
      <c r="C86" s="728"/>
      <c r="D86" s="771"/>
      <c r="E86" s="728"/>
      <c r="F86" s="728"/>
      <c r="G86" s="835">
        <f t="shared" ref="G86:G88" si="26">SUM(C86:F86)</f>
        <v>0</v>
      </c>
      <c r="H86" s="4"/>
      <c r="I86" s="4"/>
    </row>
    <row r="87" spans="1:9" ht="0.2" customHeight="1" x14ac:dyDescent="0.2">
      <c r="A87" s="808"/>
      <c r="B87" s="819" t="s">
        <v>393</v>
      </c>
      <c r="C87" s="317"/>
      <c r="D87" s="315"/>
      <c r="E87" s="317"/>
      <c r="F87" s="317"/>
      <c r="G87" s="835">
        <f t="shared" si="26"/>
        <v>0</v>
      </c>
      <c r="H87" s="4"/>
      <c r="I87" s="4"/>
    </row>
    <row r="88" spans="1:9" ht="0.2" customHeight="1" thickBot="1" x14ac:dyDescent="0.25">
      <c r="A88" s="727"/>
      <c r="B88" s="357" t="s">
        <v>391</v>
      </c>
      <c r="C88" s="317">
        <v>209</v>
      </c>
      <c r="D88" s="740"/>
      <c r="E88" s="317"/>
      <c r="F88" s="317"/>
      <c r="G88" s="836">
        <f t="shared" si="26"/>
        <v>209</v>
      </c>
      <c r="H88" s="4"/>
      <c r="I88" s="4"/>
    </row>
    <row r="89" spans="1:9" ht="12" customHeight="1" x14ac:dyDescent="0.2">
      <c r="A89" s="2009" t="s">
        <v>99</v>
      </c>
      <c r="B89" s="2010"/>
      <c r="C89" s="792"/>
      <c r="D89" s="749"/>
      <c r="E89" s="792"/>
      <c r="F89" s="792"/>
      <c r="G89" s="837"/>
      <c r="H89" s="4"/>
      <c r="I89" s="4"/>
    </row>
    <row r="90" spans="1:9" ht="12" customHeight="1" thickBot="1" x14ac:dyDescent="0.25">
      <c r="A90" s="812"/>
      <c r="B90" s="833" t="s">
        <v>392</v>
      </c>
      <c r="C90" s="1723">
        <f t="shared" ref="C90:G92" si="27">C78+C82</f>
        <v>300</v>
      </c>
      <c r="D90" s="1723">
        <f t="shared" si="27"/>
        <v>92984</v>
      </c>
      <c r="E90" s="1723">
        <f t="shared" si="27"/>
        <v>0</v>
      </c>
      <c r="F90" s="1723">
        <f t="shared" si="27"/>
        <v>0</v>
      </c>
      <c r="G90" s="1725">
        <f t="shared" si="27"/>
        <v>93284</v>
      </c>
      <c r="H90" s="4"/>
      <c r="I90" s="4"/>
    </row>
    <row r="91" spans="1:9" ht="0.2" customHeight="1" x14ac:dyDescent="0.2">
      <c r="A91" s="1730"/>
      <c r="B91" s="1744" t="s">
        <v>393</v>
      </c>
      <c r="C91" s="1718">
        <f t="shared" si="27"/>
        <v>300</v>
      </c>
      <c r="D91" s="1718">
        <f t="shared" si="27"/>
        <v>92421</v>
      </c>
      <c r="E91" s="1718">
        <f t="shared" si="27"/>
        <v>0</v>
      </c>
      <c r="F91" s="1718">
        <f t="shared" si="27"/>
        <v>0</v>
      </c>
      <c r="G91" s="1720">
        <f t="shared" si="27"/>
        <v>92721</v>
      </c>
      <c r="H91" s="4"/>
      <c r="I91" s="4"/>
    </row>
    <row r="92" spans="1:9" ht="0.2" customHeight="1" x14ac:dyDescent="0.2">
      <c r="A92" s="1158"/>
      <c r="B92" s="1187" t="s">
        <v>391</v>
      </c>
      <c r="C92" s="772">
        <f>C80+C84+C88</f>
        <v>523</v>
      </c>
      <c r="D92" s="772">
        <f t="shared" si="27"/>
        <v>66464</v>
      </c>
      <c r="E92" s="772">
        <f t="shared" si="27"/>
        <v>0</v>
      </c>
      <c r="F92" s="772">
        <f t="shared" si="27"/>
        <v>0</v>
      </c>
      <c r="G92" s="776">
        <f>G80+G84+G88</f>
        <v>66987</v>
      </c>
      <c r="H92" s="4"/>
      <c r="I92" s="4"/>
    </row>
    <row r="93" spans="1:9" ht="0.2" customHeight="1" thickBot="1" x14ac:dyDescent="0.25">
      <c r="A93" s="834"/>
      <c r="B93" s="833" t="s">
        <v>498</v>
      </c>
      <c r="C93" s="1161">
        <f>SUM(C92)/C91</f>
        <v>1.7433333333333334</v>
      </c>
      <c r="D93" s="1161">
        <f t="shared" ref="D93:G93" si="28">SUM(D92)/D91</f>
        <v>0.71914391750792572</v>
      </c>
      <c r="E93" s="1161"/>
      <c r="F93" s="1161"/>
      <c r="G93" s="1161">
        <f t="shared" si="28"/>
        <v>0.72245769566764806</v>
      </c>
      <c r="H93" s="4"/>
      <c r="I93" s="4"/>
    </row>
    <row r="94" spans="1:9" x14ac:dyDescent="0.2">
      <c r="A94" s="434"/>
      <c r="B94" s="59"/>
      <c r="C94" s="67"/>
      <c r="D94" s="67"/>
      <c r="E94" s="67"/>
      <c r="F94" s="67"/>
      <c r="G94" s="4"/>
      <c r="H94" s="4"/>
      <c r="I94" s="4"/>
    </row>
    <row r="95" spans="1:9" x14ac:dyDescent="0.2">
      <c r="A95" s="434"/>
      <c r="B95" s="59"/>
      <c r="C95" s="59"/>
      <c r="D95" s="59"/>
      <c r="E95" s="59"/>
      <c r="F95" s="59"/>
      <c r="G95" s="4"/>
      <c r="H95" s="4"/>
      <c r="I95" s="4"/>
    </row>
    <row r="96" spans="1:9" x14ac:dyDescent="0.2">
      <c r="A96" s="435"/>
      <c r="B96" s="67"/>
      <c r="C96" s="67"/>
      <c r="D96" s="67"/>
      <c r="E96" s="67"/>
      <c r="F96" s="67"/>
      <c r="G96" s="4"/>
      <c r="H96" s="4"/>
      <c r="I96" s="4"/>
    </row>
    <row r="97" spans="1:9" x14ac:dyDescent="0.2">
      <c r="A97" s="43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3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3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3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3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3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3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3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3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3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3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3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3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3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3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3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3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3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3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3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3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3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3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3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3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3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3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3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3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3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3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34"/>
      <c r="B128" s="4"/>
      <c r="C128" s="4"/>
      <c r="D128" s="4"/>
      <c r="E128" s="4"/>
      <c r="F128" s="4"/>
      <c r="G128" s="4"/>
      <c r="H128" s="4"/>
      <c r="I128" s="4"/>
    </row>
  </sheetData>
  <mergeCells count="9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opLeftCell="B7" workbookViewId="0">
      <selection activeCell="C1" sqref="C1:K20"/>
    </sheetView>
  </sheetViews>
  <sheetFormatPr defaultRowHeight="12.75" x14ac:dyDescent="0.2"/>
  <cols>
    <col min="1" max="1" width="0.85546875" style="3" hidden="1" customWidth="1"/>
    <col min="2" max="2" width="0.85546875" style="6" customWidth="1"/>
    <col min="3" max="3" width="19.85546875" style="6" customWidth="1"/>
    <col min="4" max="4" width="30.140625" customWidth="1"/>
    <col min="5" max="6" width="0.28515625" customWidth="1"/>
    <col min="7" max="7" width="0.7109375" style="1" customWidth="1"/>
    <col min="8" max="8" width="35.140625" style="1" customWidth="1"/>
    <col min="9" max="9" width="27.28515625" customWidth="1"/>
    <col min="10" max="11" width="0.28515625" customWidth="1"/>
    <col min="12" max="12" width="8.85546875" style="1" customWidth="1"/>
  </cols>
  <sheetData>
    <row r="1" spans="1:23" ht="20.25" thickBot="1" x14ac:dyDescent="0.4">
      <c r="A1" s="32" t="s">
        <v>23</v>
      </c>
      <c r="B1" s="32"/>
      <c r="C1" s="1941" t="s">
        <v>542</v>
      </c>
      <c r="D1" s="1942"/>
      <c r="E1" s="1942"/>
      <c r="F1" s="1942"/>
      <c r="G1" s="1942"/>
      <c r="H1" s="1942"/>
      <c r="I1" s="1942"/>
      <c r="J1" s="1942"/>
      <c r="K1" s="1943"/>
      <c r="L1" s="105"/>
      <c r="M1" s="33"/>
    </row>
    <row r="2" spans="1:23" s="12" customFormat="1" ht="20.25" thickBot="1" x14ac:dyDescent="0.4">
      <c r="A2" s="34"/>
      <c r="B2" s="34"/>
      <c r="C2" s="197"/>
      <c r="D2" s="113"/>
      <c r="E2" s="113"/>
      <c r="F2" s="114"/>
      <c r="G2" s="113"/>
      <c r="H2" s="128"/>
      <c r="I2" s="115"/>
      <c r="J2" s="115"/>
      <c r="K2" s="198"/>
      <c r="L2" s="105"/>
      <c r="M2" s="33"/>
    </row>
    <row r="3" spans="1:23" ht="16.5" thickBot="1" x14ac:dyDescent="0.3">
      <c r="A3" s="6"/>
      <c r="C3" s="116"/>
      <c r="D3" s="910" t="s">
        <v>6</v>
      </c>
      <c r="E3" s="910"/>
      <c r="F3" s="1195"/>
      <c r="G3" s="1198"/>
      <c r="H3" s="109"/>
      <c r="I3" s="910" t="s">
        <v>111</v>
      </c>
      <c r="J3" s="910"/>
      <c r="K3" s="117"/>
      <c r="L3" s="106"/>
    </row>
    <row r="4" spans="1:23" ht="3" customHeight="1" x14ac:dyDescent="0.25">
      <c r="A4" s="6"/>
      <c r="C4" s="122"/>
      <c r="D4" s="123"/>
      <c r="E4" s="123"/>
      <c r="F4" s="1196"/>
      <c r="G4" s="1199"/>
      <c r="H4" s="127"/>
      <c r="I4" s="123"/>
      <c r="J4" s="650"/>
      <c r="K4" s="71"/>
      <c r="L4" s="107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5">
      <c r="A5" s="6"/>
      <c r="C5" s="126"/>
      <c r="D5" s="645" t="s">
        <v>403</v>
      </c>
      <c r="E5" s="645"/>
      <c r="F5" s="645"/>
      <c r="G5" s="1200"/>
      <c r="H5" s="262"/>
      <c r="I5" s="645" t="s">
        <v>403</v>
      </c>
      <c r="J5" s="645"/>
      <c r="K5" s="646"/>
      <c r="L5" s="107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x14ac:dyDescent="0.25">
      <c r="A6" s="6"/>
      <c r="C6" s="196"/>
      <c r="D6" s="272"/>
      <c r="E6" s="272"/>
      <c r="F6" s="1197"/>
      <c r="G6" s="1200"/>
      <c r="H6" s="1079" t="s">
        <v>429</v>
      </c>
      <c r="I6" s="1080">
        <v>500</v>
      </c>
      <c r="J6" s="1080">
        <v>500</v>
      </c>
      <c r="K6" s="1202">
        <v>455</v>
      </c>
      <c r="L6" s="10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5.5" customHeight="1" x14ac:dyDescent="0.25">
      <c r="A7" s="6"/>
      <c r="C7" s="196"/>
      <c r="D7" s="272"/>
      <c r="E7" s="272"/>
      <c r="F7" s="1197"/>
      <c r="G7" s="1200"/>
      <c r="H7" s="1081" t="s">
        <v>566</v>
      </c>
      <c r="I7" s="272">
        <v>300</v>
      </c>
      <c r="J7" s="272">
        <v>300</v>
      </c>
      <c r="K7" s="647"/>
      <c r="L7" s="107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" x14ac:dyDescent="0.25">
      <c r="A8" s="6"/>
      <c r="C8" s="196"/>
      <c r="D8" s="274"/>
      <c r="E8" s="274"/>
      <c r="F8" s="1197"/>
      <c r="G8" s="1200"/>
      <c r="H8" s="1082" t="s">
        <v>430</v>
      </c>
      <c r="I8" s="275">
        <v>100</v>
      </c>
      <c r="J8" s="275">
        <v>100</v>
      </c>
      <c r="K8" s="647"/>
      <c r="L8" s="106"/>
    </row>
    <row r="9" spans="1:23" ht="15" x14ac:dyDescent="0.25">
      <c r="A9" s="6"/>
      <c r="C9" s="196"/>
      <c r="D9" s="274"/>
      <c r="E9" s="274"/>
      <c r="F9" s="1197"/>
      <c r="G9" s="1200"/>
      <c r="H9" s="1083" t="s">
        <v>431</v>
      </c>
      <c r="I9" s="373">
        <v>300</v>
      </c>
      <c r="J9" s="373">
        <v>300</v>
      </c>
      <c r="K9" s="647"/>
      <c r="L9" s="106"/>
    </row>
    <row r="10" spans="1:23" ht="27.75" customHeight="1" x14ac:dyDescent="0.25">
      <c r="A10" s="6"/>
      <c r="C10" s="196"/>
      <c r="D10" s="272"/>
      <c r="E10" s="272"/>
      <c r="F10" s="1090"/>
      <c r="G10" s="1200"/>
      <c r="H10" s="1083" t="s">
        <v>567</v>
      </c>
      <c r="I10" s="373">
        <v>600</v>
      </c>
      <c r="J10" s="373">
        <v>75</v>
      </c>
      <c r="K10" s="647">
        <v>80</v>
      </c>
      <c r="L10" s="106"/>
    </row>
    <row r="11" spans="1:23" ht="18.75" customHeight="1" x14ac:dyDescent="0.25">
      <c r="A11" s="6"/>
      <c r="B11" s="377"/>
      <c r="C11" s="372"/>
      <c r="D11" s="272"/>
      <c r="E11" s="272"/>
      <c r="F11" s="1090"/>
      <c r="G11" s="1200"/>
      <c r="H11" s="1083" t="s">
        <v>568</v>
      </c>
      <c r="I11" s="373">
        <v>100</v>
      </c>
      <c r="J11" s="373">
        <v>85</v>
      </c>
      <c r="K11" s="647">
        <v>102</v>
      </c>
      <c r="L11" s="106"/>
    </row>
    <row r="12" spans="1:23" ht="19.5" customHeight="1" x14ac:dyDescent="0.25">
      <c r="A12" s="6"/>
      <c r="B12" s="377"/>
      <c r="C12" s="372"/>
      <c r="D12" s="272"/>
      <c r="E12" s="272"/>
      <c r="F12" s="1090"/>
      <c r="G12" s="1200"/>
      <c r="H12" s="1083" t="s">
        <v>569</v>
      </c>
      <c r="I12" s="373">
        <v>500</v>
      </c>
      <c r="J12" s="373">
        <v>20</v>
      </c>
      <c r="K12" s="647">
        <v>15</v>
      </c>
      <c r="L12" s="106"/>
    </row>
    <row r="13" spans="1:23" ht="30" x14ac:dyDescent="0.25">
      <c r="A13" s="6"/>
      <c r="B13" s="377"/>
      <c r="C13" s="372"/>
      <c r="D13" s="272"/>
      <c r="E13" s="272"/>
      <c r="F13" s="1090"/>
      <c r="G13" s="1200"/>
      <c r="H13" s="1083" t="s">
        <v>570</v>
      </c>
      <c r="I13" s="373">
        <v>500</v>
      </c>
      <c r="J13" s="373">
        <v>20</v>
      </c>
      <c r="K13" s="647"/>
      <c r="L13" s="106"/>
    </row>
    <row r="14" spans="1:23" ht="15" x14ac:dyDescent="0.25">
      <c r="A14" s="6"/>
      <c r="B14" s="377"/>
      <c r="C14" s="372"/>
      <c r="D14" s="272"/>
      <c r="E14" s="272"/>
      <c r="F14" s="1090"/>
      <c r="G14" s="1200"/>
      <c r="H14" s="1083" t="s">
        <v>565</v>
      </c>
      <c r="I14" s="373">
        <v>1037</v>
      </c>
      <c r="J14" s="373"/>
      <c r="K14" s="647">
        <v>44</v>
      </c>
      <c r="L14" s="106"/>
    </row>
    <row r="15" spans="1:23" ht="15" x14ac:dyDescent="0.25">
      <c r="A15" s="6"/>
      <c r="B15" s="377"/>
      <c r="C15" s="372"/>
      <c r="D15" s="272"/>
      <c r="E15" s="272"/>
      <c r="F15" s="1090"/>
      <c r="G15" s="1200"/>
      <c r="H15" s="1083"/>
      <c r="I15" s="373"/>
      <c r="J15" s="373"/>
      <c r="K15" s="647">
        <v>13</v>
      </c>
      <c r="L15" s="106"/>
    </row>
    <row r="16" spans="1:23" ht="15" x14ac:dyDescent="0.25">
      <c r="A16" s="6"/>
      <c r="B16" s="377"/>
      <c r="C16" s="372"/>
      <c r="D16" s="272"/>
      <c r="E16" s="272"/>
      <c r="F16" s="1090"/>
      <c r="G16" s="1200"/>
      <c r="H16" s="1083"/>
      <c r="I16" s="373"/>
      <c r="J16" s="373"/>
      <c r="K16" s="647">
        <v>44</v>
      </c>
      <c r="L16" s="106"/>
    </row>
    <row r="17" spans="1:12" ht="15" x14ac:dyDescent="0.25">
      <c r="A17" s="6"/>
      <c r="B17" s="377"/>
      <c r="C17" s="372"/>
      <c r="D17" s="272"/>
      <c r="E17" s="272"/>
      <c r="F17" s="1090"/>
      <c r="G17" s="1200"/>
      <c r="H17" s="1083"/>
      <c r="I17" s="373"/>
      <c r="J17" s="373"/>
      <c r="K17" s="647">
        <v>46</v>
      </c>
      <c r="L17" s="106"/>
    </row>
    <row r="18" spans="1:12" ht="15.75" thickBot="1" x14ac:dyDescent="0.3">
      <c r="A18" s="6"/>
      <c r="B18" s="377"/>
      <c r="C18" s="372"/>
      <c r="D18" s="272"/>
      <c r="E18" s="272"/>
      <c r="F18" s="1090"/>
      <c r="G18" s="1200"/>
      <c r="H18" s="1042"/>
      <c r="I18" s="1033"/>
      <c r="J18" s="1033">
        <v>200</v>
      </c>
      <c r="K18" s="995">
        <v>200</v>
      </c>
      <c r="L18" s="106"/>
    </row>
    <row r="19" spans="1:12" ht="16.5" thickBot="1" x14ac:dyDescent="0.3">
      <c r="A19" s="4"/>
      <c r="B19" s="610"/>
      <c r="C19" s="119" t="s">
        <v>54</v>
      </c>
      <c r="D19" s="649">
        <f>SUM(D6:D13)</f>
        <v>0</v>
      </c>
      <c r="E19" s="269">
        <f>SUM(E6:E13)</f>
        <v>0</v>
      </c>
      <c r="F19" s="649"/>
      <c r="G19" s="1201"/>
      <c r="H19" s="270"/>
      <c r="I19" s="914">
        <f>SUM(I6:I14)</f>
        <v>3937</v>
      </c>
      <c r="J19" s="914">
        <f>SUM(J6:J18)</f>
        <v>1600</v>
      </c>
      <c r="K19" s="263">
        <f>SUM(K6:K18)</f>
        <v>999</v>
      </c>
      <c r="L19" s="106"/>
    </row>
    <row r="20" spans="1:12" ht="16.5" thickBot="1" x14ac:dyDescent="0.3">
      <c r="A20" s="4"/>
      <c r="B20" s="4"/>
      <c r="C20" s="270" t="s">
        <v>404</v>
      </c>
      <c r="D20" s="369"/>
      <c r="E20" s="270"/>
      <c r="F20" s="271"/>
      <c r="G20" s="271"/>
      <c r="H20" s="653"/>
      <c r="I20" s="913">
        <f>SUM(I19+D19)</f>
        <v>3937</v>
      </c>
      <c r="J20" s="914">
        <f>SUM(I19+D19)</f>
        <v>3937</v>
      </c>
      <c r="K20" s="264">
        <f>SUM(D19+I19)</f>
        <v>3937</v>
      </c>
      <c r="L20" s="106"/>
    </row>
    <row r="21" spans="1:12" ht="0.2" customHeight="1" thickBot="1" x14ac:dyDescent="0.3">
      <c r="A21" s="4"/>
      <c r="B21" s="4"/>
      <c r="C21" s="270" t="s">
        <v>405</v>
      </c>
      <c r="D21" s="369"/>
      <c r="E21" s="270"/>
      <c r="F21" s="271"/>
      <c r="G21" s="271"/>
      <c r="H21" s="653"/>
      <c r="I21" s="271"/>
      <c r="J21" s="914">
        <f>SUM(J19+E19)</f>
        <v>1600</v>
      </c>
      <c r="K21" s="264">
        <f>SUM(E19+J19)</f>
        <v>1600</v>
      </c>
      <c r="L21" s="106"/>
    </row>
    <row r="22" spans="1:12" ht="0.2" customHeight="1" thickBot="1" x14ac:dyDescent="0.3">
      <c r="A22" s="4"/>
      <c r="B22" s="4"/>
      <c r="C22" s="270" t="s">
        <v>504</v>
      </c>
      <c r="D22" s="369"/>
      <c r="E22" s="270"/>
      <c r="F22" s="271"/>
      <c r="G22" s="271"/>
      <c r="H22" s="271"/>
      <c r="I22" s="1193"/>
      <c r="J22" s="1193"/>
      <c r="K22" s="1194">
        <f>SUM(F19+K19)</f>
        <v>999</v>
      </c>
    </row>
    <row r="23" spans="1:12" s="24" customFormat="1" ht="0.2" customHeight="1" thickBot="1" x14ac:dyDescent="0.3">
      <c r="A23" s="23" t="s">
        <v>7</v>
      </c>
      <c r="B23" s="23"/>
      <c r="C23" s="4"/>
      <c r="D23"/>
      <c r="E23"/>
      <c r="F23" s="35"/>
      <c r="G23" s="36"/>
      <c r="H23" s="36"/>
      <c r="I23" s="4"/>
      <c r="J23" s="4"/>
      <c r="K23" s="1204">
        <f>SUM(K22/K21)</f>
        <v>0.62437500000000001</v>
      </c>
      <c r="L23" s="25"/>
    </row>
    <row r="24" spans="1:12" ht="15.75" x14ac:dyDescent="0.25">
      <c r="A24" s="4"/>
      <c r="B24" s="4"/>
      <c r="C24" s="23"/>
      <c r="D24" s="24"/>
      <c r="E24" s="24"/>
      <c r="F24" s="8"/>
      <c r="G24" s="5"/>
      <c r="H24" s="5"/>
      <c r="I24" s="4"/>
      <c r="J24" s="4"/>
      <c r="K24" s="4"/>
    </row>
    <row r="25" spans="1:12" x14ac:dyDescent="0.2">
      <c r="C25" s="4"/>
      <c r="D25" s="5"/>
      <c r="E25" s="5"/>
      <c r="F25" s="20"/>
      <c r="G25" s="4"/>
      <c r="H25" s="4"/>
    </row>
    <row r="26" spans="1:12" x14ac:dyDescent="0.2">
      <c r="A26" s="7"/>
      <c r="B26" s="7"/>
    </row>
    <row r="27" spans="1:12" x14ac:dyDescent="0.2">
      <c r="A27" s="9"/>
      <c r="B27" s="9"/>
      <c r="C27" s="7"/>
    </row>
    <row r="28" spans="1:12" x14ac:dyDescent="0.2">
      <c r="A28" s="9"/>
      <c r="B28" s="9"/>
      <c r="C28" s="9"/>
    </row>
    <row r="29" spans="1:12" x14ac:dyDescent="0.2">
      <c r="A29" s="9"/>
      <c r="B29" s="9"/>
      <c r="C29" s="9"/>
    </row>
    <row r="30" spans="1:12" x14ac:dyDescent="0.2">
      <c r="A30" s="9"/>
      <c r="B30" s="9"/>
      <c r="C30" s="9"/>
    </row>
    <row r="31" spans="1:12" x14ac:dyDescent="0.2">
      <c r="A31" s="9"/>
      <c r="B31" s="9"/>
      <c r="C31" s="9"/>
    </row>
    <row r="32" spans="1:12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  <row r="39" spans="1:3" x14ac:dyDescent="0.2">
      <c r="A39" s="9"/>
      <c r="B39" s="9"/>
      <c r="C39" s="9"/>
    </row>
    <row r="40" spans="1:3" x14ac:dyDescent="0.2">
      <c r="A40" s="9"/>
      <c r="B40" s="9"/>
      <c r="C40" s="9"/>
    </row>
    <row r="41" spans="1:3" x14ac:dyDescent="0.2">
      <c r="A41" s="9"/>
      <c r="B41" s="9"/>
      <c r="C41" s="9"/>
    </row>
    <row r="42" spans="1:3" x14ac:dyDescent="0.2">
      <c r="A42" s="9"/>
      <c r="B42" s="9"/>
      <c r="C42" s="9"/>
    </row>
    <row r="43" spans="1:3" x14ac:dyDescent="0.2">
      <c r="A43" s="9"/>
      <c r="B43" s="9"/>
      <c r="C43" s="9"/>
    </row>
    <row r="44" spans="1:3" x14ac:dyDescent="0.2">
      <c r="A44" s="9"/>
      <c r="B44" s="9"/>
      <c r="C44" s="9"/>
    </row>
    <row r="45" spans="1:3" x14ac:dyDescent="0.2">
      <c r="A45" s="8"/>
      <c r="B45" s="8"/>
      <c r="C45" s="9"/>
    </row>
    <row r="46" spans="1:3" x14ac:dyDescent="0.2">
      <c r="A46" s="5"/>
      <c r="B46" s="5"/>
      <c r="C46" s="8"/>
    </row>
    <row r="47" spans="1:3" x14ac:dyDescent="0.2">
      <c r="A47" s="21"/>
      <c r="B47" s="21"/>
      <c r="C47" s="5"/>
    </row>
    <row r="48" spans="1:3" x14ac:dyDescent="0.2">
      <c r="A48" s="21"/>
      <c r="B48" s="21"/>
      <c r="C48" s="21"/>
    </row>
    <row r="49" spans="1:12" x14ac:dyDescent="0.2">
      <c r="A49" s="21"/>
      <c r="B49" s="21"/>
      <c r="C49" s="21"/>
    </row>
    <row r="50" spans="1:12" s="2" customFormat="1" ht="15.75" x14ac:dyDescent="0.25">
      <c r="A50" s="22"/>
      <c r="B50" s="22"/>
      <c r="C50" s="21"/>
      <c r="D50"/>
      <c r="E50"/>
      <c r="F50"/>
      <c r="G50" s="1"/>
      <c r="H50" s="1"/>
      <c r="I50"/>
      <c r="J50"/>
      <c r="K50"/>
      <c r="L50" s="1"/>
    </row>
    <row r="51" spans="1:12" ht="15.75" x14ac:dyDescent="0.25">
      <c r="A51" s="21"/>
      <c r="B51" s="21"/>
      <c r="C51" s="22"/>
    </row>
    <row r="52" spans="1:12" x14ac:dyDescent="0.2">
      <c r="A52" s="4"/>
      <c r="B52" s="4"/>
      <c r="C52" s="21"/>
    </row>
    <row r="53" spans="1:12" x14ac:dyDescent="0.2">
      <c r="A53" s="4"/>
      <c r="B53" s="4"/>
      <c r="C53" s="4"/>
    </row>
    <row r="54" spans="1:12" x14ac:dyDescent="0.2">
      <c r="A54" s="4"/>
      <c r="B54" s="4"/>
      <c r="C54" s="4"/>
    </row>
    <row r="55" spans="1:12" x14ac:dyDescent="0.2">
      <c r="A55" s="4"/>
      <c r="B55" s="4"/>
      <c r="C55" s="4"/>
    </row>
    <row r="56" spans="1:12" x14ac:dyDescent="0.2">
      <c r="A56" s="4"/>
      <c r="B56" s="4"/>
      <c r="C56" s="4"/>
    </row>
    <row r="57" spans="1:12" x14ac:dyDescent="0.2">
      <c r="A57" s="21"/>
      <c r="B57" s="21"/>
      <c r="C57" s="4"/>
    </row>
    <row r="58" spans="1:12" x14ac:dyDescent="0.2">
      <c r="A58" s="21"/>
      <c r="B58" s="21"/>
      <c r="C58" s="21"/>
    </row>
    <row r="59" spans="1:12" ht="15.75" x14ac:dyDescent="0.25">
      <c r="A59" s="21"/>
      <c r="B59" s="21"/>
      <c r="C59" s="21"/>
      <c r="L59" s="2"/>
    </row>
    <row r="60" spans="1:12" x14ac:dyDescent="0.2">
      <c r="A60" s="21"/>
      <c r="B60" s="21"/>
      <c r="C60" s="21"/>
    </row>
    <row r="61" spans="1:12" x14ac:dyDescent="0.2">
      <c r="A61" s="21"/>
      <c r="B61" s="21"/>
      <c r="C61" s="21"/>
    </row>
    <row r="62" spans="1:12" x14ac:dyDescent="0.2">
      <c r="A62" s="6"/>
      <c r="C62" s="21"/>
    </row>
    <row r="63" spans="1:12" x14ac:dyDescent="0.2">
      <c r="A63" s="6"/>
    </row>
    <row r="64" spans="1:12" x14ac:dyDescent="0.2">
      <c r="A64" s="6"/>
    </row>
    <row r="65" spans="1:5" x14ac:dyDescent="0.2">
      <c r="A65" s="27"/>
    </row>
    <row r="66" spans="1:5" x14ac:dyDescent="0.2">
      <c r="A66" s="27"/>
      <c r="D66" s="4"/>
      <c r="E66" s="4"/>
    </row>
    <row r="67" spans="1:5" x14ac:dyDescent="0.2">
      <c r="A67" s="27"/>
      <c r="D67" s="4"/>
      <c r="E67" s="4"/>
    </row>
    <row r="68" spans="1:5" x14ac:dyDescent="0.2">
      <c r="A68" s="27"/>
      <c r="D68" s="4"/>
      <c r="E68" s="4"/>
    </row>
    <row r="69" spans="1:5" x14ac:dyDescent="0.2">
      <c r="A69" s="27"/>
      <c r="D69" s="4"/>
      <c r="E69" s="4"/>
    </row>
    <row r="70" spans="1:5" x14ac:dyDescent="0.2">
      <c r="A70" s="27"/>
      <c r="D70" s="4"/>
      <c r="E70" s="4"/>
    </row>
    <row r="71" spans="1:5" x14ac:dyDescent="0.2">
      <c r="A71" s="27"/>
      <c r="D71" s="4"/>
      <c r="E71" s="4"/>
    </row>
    <row r="72" spans="1:5" x14ac:dyDescent="0.2">
      <c r="A72" s="27"/>
      <c r="D72" s="4"/>
      <c r="E72" s="4"/>
    </row>
    <row r="73" spans="1:5" x14ac:dyDescent="0.2">
      <c r="A73" s="27"/>
      <c r="D73" s="4"/>
      <c r="E73" s="4"/>
    </row>
    <row r="74" spans="1:5" x14ac:dyDescent="0.2">
      <c r="A74" s="27"/>
      <c r="D74" s="4"/>
      <c r="E74" s="4"/>
    </row>
    <row r="75" spans="1:5" x14ac:dyDescent="0.2">
      <c r="A75" s="27"/>
      <c r="D75" s="4"/>
      <c r="E75" s="4"/>
    </row>
    <row r="76" spans="1:5" x14ac:dyDescent="0.2">
      <c r="A76" s="27"/>
      <c r="D76" s="4"/>
      <c r="E76" s="4"/>
    </row>
    <row r="77" spans="1:5" x14ac:dyDescent="0.2">
      <c r="A77" s="27"/>
      <c r="D77" s="4"/>
      <c r="E77" s="4"/>
    </row>
    <row r="78" spans="1:5" x14ac:dyDescent="0.2">
      <c r="A78" s="27"/>
      <c r="D78" s="4"/>
      <c r="E78" s="4"/>
    </row>
    <row r="79" spans="1:5" x14ac:dyDescent="0.2">
      <c r="A79" s="27"/>
      <c r="D79" s="4"/>
      <c r="E79" s="4"/>
    </row>
    <row r="80" spans="1:5" x14ac:dyDescent="0.2">
      <c r="A80" s="27"/>
      <c r="D80" s="4"/>
      <c r="E80" s="4"/>
    </row>
    <row r="81" spans="1:5" x14ac:dyDescent="0.2">
      <c r="A81" s="27"/>
      <c r="D81" s="4"/>
      <c r="E81" s="4"/>
    </row>
    <row r="82" spans="1:5" x14ac:dyDescent="0.2">
      <c r="A82" s="27"/>
      <c r="D82" s="4"/>
      <c r="E82" s="4"/>
    </row>
    <row r="83" spans="1:5" x14ac:dyDescent="0.2">
      <c r="A83" s="27"/>
      <c r="D83" s="4"/>
      <c r="E83" s="4"/>
    </row>
    <row r="84" spans="1:5" x14ac:dyDescent="0.2">
      <c r="A84" s="27"/>
      <c r="D84" s="4"/>
      <c r="E84" s="4"/>
    </row>
    <row r="85" spans="1:5" x14ac:dyDescent="0.2">
      <c r="A85" s="27"/>
      <c r="D85" s="4"/>
      <c r="E85" s="4"/>
    </row>
    <row r="86" spans="1:5" x14ac:dyDescent="0.2">
      <c r="A86" s="27"/>
      <c r="D86" s="4"/>
      <c r="E86" s="4"/>
    </row>
    <row r="87" spans="1:5" x14ac:dyDescent="0.2">
      <c r="A87" s="27"/>
      <c r="D87" s="4"/>
      <c r="E87" s="4"/>
    </row>
    <row r="88" spans="1:5" x14ac:dyDescent="0.2">
      <c r="A88" s="27"/>
      <c r="D88" s="4"/>
      <c r="E88" s="4"/>
    </row>
    <row r="89" spans="1:5" x14ac:dyDescent="0.2">
      <c r="A89" s="27"/>
      <c r="D89" s="4"/>
      <c r="E89" s="4"/>
    </row>
    <row r="90" spans="1:5" x14ac:dyDescent="0.2">
      <c r="A90" s="27"/>
      <c r="D90" s="4"/>
      <c r="E90" s="4"/>
    </row>
    <row r="91" spans="1:5" x14ac:dyDescent="0.2">
      <c r="A91" s="27"/>
      <c r="D91" s="4"/>
      <c r="E91" s="4"/>
    </row>
    <row r="92" spans="1:5" x14ac:dyDescent="0.2">
      <c r="A92" s="27"/>
      <c r="D92" s="4"/>
      <c r="E92" s="4"/>
    </row>
    <row r="93" spans="1:5" x14ac:dyDescent="0.2">
      <c r="A93" s="27"/>
      <c r="D93" s="4"/>
      <c r="E93" s="4"/>
    </row>
    <row r="94" spans="1:5" x14ac:dyDescent="0.2">
      <c r="A94" s="27"/>
      <c r="D94" s="4"/>
      <c r="E94" s="4"/>
    </row>
    <row r="95" spans="1:5" x14ac:dyDescent="0.2">
      <c r="A95" s="27"/>
      <c r="D95" s="4"/>
      <c r="E95" s="4"/>
    </row>
    <row r="96" spans="1:5" x14ac:dyDescent="0.2">
      <c r="A96" s="27"/>
      <c r="D96" s="4"/>
      <c r="E96" s="4"/>
    </row>
    <row r="97" spans="1:5" x14ac:dyDescent="0.2">
      <c r="A97" s="27"/>
      <c r="D97" s="4"/>
      <c r="E97" s="4"/>
    </row>
    <row r="98" spans="1:5" x14ac:dyDescent="0.2">
      <c r="A98" s="26"/>
      <c r="D98" s="4"/>
      <c r="E98" s="4"/>
    </row>
    <row r="99" spans="1:5" x14ac:dyDescent="0.2">
      <c r="A99" s="26"/>
      <c r="D99" s="4"/>
      <c r="E99" s="4"/>
    </row>
    <row r="100" spans="1:5" x14ac:dyDescent="0.2">
      <c r="A100" s="26"/>
      <c r="D100" s="4"/>
      <c r="E100" s="4"/>
    </row>
    <row r="101" spans="1:5" x14ac:dyDescent="0.2">
      <c r="D101" s="4"/>
      <c r="E101" s="4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P212"/>
  <sheetViews>
    <sheetView workbookViewId="0">
      <selection activeCell="N46" sqref="N46"/>
    </sheetView>
  </sheetViews>
  <sheetFormatPr defaultRowHeight="12.75" x14ac:dyDescent="0.2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3" customHeight="1" thickBot="1" x14ac:dyDescent="0.25"/>
    <row r="2" spans="1:16" ht="29.25" customHeight="1" thickBot="1" x14ac:dyDescent="0.3">
      <c r="A2" s="1926" t="s">
        <v>543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8"/>
    </row>
    <row r="3" spans="1:16" ht="6" customHeight="1" x14ac:dyDescent="0.2">
      <c r="A3" s="22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228"/>
    </row>
    <row r="4" spans="1:16" ht="13.5" thickBot="1" x14ac:dyDescent="0.25">
      <c r="A4" s="229" t="s">
        <v>140</v>
      </c>
      <c r="B4" s="230"/>
      <c r="C4" s="231"/>
      <c r="D4" s="231"/>
      <c r="E4" s="231"/>
      <c r="F4" s="230"/>
      <c r="G4" s="232"/>
      <c r="H4" s="232"/>
      <c r="I4" s="233"/>
      <c r="J4" s="234"/>
      <c r="K4" s="234"/>
      <c r="L4" s="235"/>
      <c r="M4" s="234"/>
      <c r="N4" s="236"/>
    </row>
    <row r="5" spans="1:16" x14ac:dyDescent="0.2">
      <c r="A5" s="39" t="s">
        <v>33</v>
      </c>
      <c r="B5" s="42" t="s">
        <v>1</v>
      </c>
      <c r="C5" s="40" t="s">
        <v>34</v>
      </c>
      <c r="D5" s="40" t="s">
        <v>35</v>
      </c>
      <c r="E5" s="40" t="s">
        <v>36</v>
      </c>
      <c r="F5" s="40" t="s">
        <v>37</v>
      </c>
      <c r="G5" s="40" t="s">
        <v>38</v>
      </c>
      <c r="H5" s="40" t="s">
        <v>39</v>
      </c>
      <c r="I5" s="40" t="s">
        <v>40</v>
      </c>
      <c r="J5" s="40" t="s">
        <v>48</v>
      </c>
      <c r="K5" s="41" t="s">
        <v>49</v>
      </c>
      <c r="L5" s="40" t="s">
        <v>50</v>
      </c>
      <c r="M5" s="40" t="s">
        <v>51</v>
      </c>
      <c r="N5" s="42" t="s">
        <v>52</v>
      </c>
    </row>
    <row r="6" spans="1:16" ht="13.5" thickBot="1" x14ac:dyDescent="0.25">
      <c r="A6" s="43" t="s">
        <v>41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6" x14ac:dyDescent="0.2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6" x14ac:dyDescent="0.2">
      <c r="A8" s="49" t="s">
        <v>329</v>
      </c>
      <c r="B8" s="326">
        <f>'1.sz. melléklet'!B6</f>
        <v>60363</v>
      </c>
      <c r="C8" s="327">
        <f>$B8/12</f>
        <v>5030.25</v>
      </c>
      <c r="D8" s="327">
        <f t="shared" ref="D8:N8" si="0">$B8/12</f>
        <v>5030.25</v>
      </c>
      <c r="E8" s="327">
        <f t="shared" si="0"/>
        <v>5030.25</v>
      </c>
      <c r="F8" s="327">
        <f t="shared" si="0"/>
        <v>5030.25</v>
      </c>
      <c r="G8" s="327">
        <f t="shared" si="0"/>
        <v>5030.25</v>
      </c>
      <c r="H8" s="327">
        <f t="shared" si="0"/>
        <v>5030.25</v>
      </c>
      <c r="I8" s="327">
        <f t="shared" si="0"/>
        <v>5030.25</v>
      </c>
      <c r="J8" s="327">
        <v>8415</v>
      </c>
      <c r="K8" s="327">
        <f t="shared" si="0"/>
        <v>5030.25</v>
      </c>
      <c r="L8" s="327">
        <f t="shared" si="0"/>
        <v>5030.25</v>
      </c>
      <c r="M8" s="327">
        <f t="shared" si="0"/>
        <v>5030.25</v>
      </c>
      <c r="N8" s="328">
        <f t="shared" si="0"/>
        <v>5030.25</v>
      </c>
      <c r="O8" s="238"/>
      <c r="P8" s="309"/>
    </row>
    <row r="9" spans="1:16" x14ac:dyDescent="0.2">
      <c r="A9" s="49" t="s">
        <v>192</v>
      </c>
      <c r="B9" s="329">
        <f>'1.sz. melléklet'!B5</f>
        <v>548194</v>
      </c>
      <c r="C9" s="330">
        <v>4000</v>
      </c>
      <c r="D9" s="330">
        <v>5000</v>
      </c>
      <c r="E9" s="330">
        <v>7000</v>
      </c>
      <c r="F9" s="330">
        <v>201000</v>
      </c>
      <c r="G9" s="330">
        <v>4000</v>
      </c>
      <c r="H9" s="330">
        <v>4000</v>
      </c>
      <c r="I9" s="330">
        <v>52000</v>
      </c>
      <c r="J9" s="330">
        <v>53000</v>
      </c>
      <c r="K9" s="330">
        <v>200000</v>
      </c>
      <c r="L9" s="330">
        <v>4000</v>
      </c>
      <c r="M9" s="330">
        <v>4000</v>
      </c>
      <c r="N9" s="331">
        <v>10194</v>
      </c>
      <c r="O9" s="238"/>
      <c r="P9" s="309"/>
    </row>
    <row r="10" spans="1:16" x14ac:dyDescent="0.2">
      <c r="A10" s="49" t="s">
        <v>348</v>
      </c>
      <c r="B10" s="329">
        <f>SUM('2.sz.melléklet'!E157)</f>
        <v>113279</v>
      </c>
      <c r="C10" s="330">
        <f>$B10/12</f>
        <v>9439.9166666666661</v>
      </c>
      <c r="D10" s="330">
        <f t="shared" ref="D10:N10" si="1">$B10/12</f>
        <v>9439.9166666666661</v>
      </c>
      <c r="E10" s="330">
        <f>$B10/12</f>
        <v>9439.9166666666661</v>
      </c>
      <c r="F10" s="330">
        <f t="shared" si="1"/>
        <v>9439.9166666666661</v>
      </c>
      <c r="G10" s="330">
        <f t="shared" si="1"/>
        <v>9439.9166666666661</v>
      </c>
      <c r="H10" s="330">
        <f t="shared" si="1"/>
        <v>9439.9166666666661</v>
      </c>
      <c r="I10" s="330">
        <f t="shared" si="1"/>
        <v>9439.9166666666661</v>
      </c>
      <c r="J10" s="330">
        <f t="shared" si="1"/>
        <v>9439.9166666666661</v>
      </c>
      <c r="K10" s="330">
        <f t="shared" si="1"/>
        <v>9439.9166666666661</v>
      </c>
      <c r="L10" s="330">
        <f t="shared" si="1"/>
        <v>9439.9166666666661</v>
      </c>
      <c r="M10" s="330">
        <f t="shared" si="1"/>
        <v>9439.9166666666661</v>
      </c>
      <c r="N10" s="331">
        <f t="shared" si="1"/>
        <v>9439.9166666666661</v>
      </c>
      <c r="O10" s="238"/>
      <c r="P10" s="309"/>
    </row>
    <row r="11" spans="1:16" x14ac:dyDescent="0.2">
      <c r="A11" s="49" t="s">
        <v>105</v>
      </c>
      <c r="B11" s="329">
        <f>'1.sz. melléklet'!B9</f>
        <v>30430</v>
      </c>
      <c r="C11" s="330"/>
      <c r="D11" s="330"/>
      <c r="E11" s="330">
        <v>3000</v>
      </c>
      <c r="F11" s="330"/>
      <c r="G11" s="330">
        <v>3000</v>
      </c>
      <c r="H11" s="330">
        <v>3000</v>
      </c>
      <c r="I11" s="330"/>
      <c r="J11" s="330">
        <v>10000</v>
      </c>
      <c r="K11" s="330"/>
      <c r="L11" s="330"/>
      <c r="M11" s="330"/>
      <c r="N11" s="331"/>
      <c r="O11" s="238"/>
      <c r="P11" s="309"/>
    </row>
    <row r="12" spans="1:16" x14ac:dyDescent="0.2">
      <c r="A12" s="49" t="s">
        <v>601</v>
      </c>
      <c r="B12" s="329">
        <f>SUM('1.sz. melléklet'!B10+'1.sz. melléklet'!B11+'5. sz.melléklet'!C24+'5. sz.melléklet'!C25+'5. sz.melléklet'!C26+'5. sz.melléklet'!C28+'5. sz.melléklet'!C29)</f>
        <v>259222</v>
      </c>
      <c r="C12" s="330">
        <v>740</v>
      </c>
      <c r="D12" s="330">
        <f>740+1080+905</f>
        <v>2725</v>
      </c>
      <c r="E12" s="330">
        <f>740+1000</f>
        <v>1740</v>
      </c>
      <c r="F12" s="330">
        <v>3740</v>
      </c>
      <c r="G12" s="330">
        <v>1820</v>
      </c>
      <c r="H12" s="330">
        <v>740</v>
      </c>
      <c r="I12" s="330">
        <v>1840</v>
      </c>
      <c r="J12" s="330">
        <v>1820</v>
      </c>
      <c r="K12" s="330">
        <v>740</v>
      </c>
      <c r="L12" s="330">
        <v>240740</v>
      </c>
      <c r="M12" s="330">
        <v>1820</v>
      </c>
      <c r="N12" s="330">
        <v>842</v>
      </c>
      <c r="O12" s="238"/>
      <c r="P12" s="309"/>
    </row>
    <row r="13" spans="1:16" x14ac:dyDescent="0.2">
      <c r="A13" s="49" t="s">
        <v>5</v>
      </c>
      <c r="B13" s="329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  <c r="O13" s="238"/>
      <c r="P13" s="309"/>
    </row>
    <row r="14" spans="1:16" x14ac:dyDescent="0.2">
      <c r="A14" s="49" t="s">
        <v>603</v>
      </c>
      <c r="B14" s="329">
        <f>SUM('2.sz.melléklet'!J157)</f>
        <v>350000</v>
      </c>
      <c r="C14" s="330">
        <v>41000</v>
      </c>
      <c r="D14" s="330">
        <v>48000</v>
      </c>
      <c r="E14" s="330">
        <v>60000</v>
      </c>
      <c r="F14" s="330">
        <v>13000</v>
      </c>
      <c r="G14" s="330">
        <v>50000</v>
      </c>
      <c r="H14" s="330">
        <v>113000</v>
      </c>
      <c r="I14" s="330">
        <v>25000</v>
      </c>
      <c r="J14" s="330"/>
      <c r="K14" s="330"/>
      <c r="L14" s="330"/>
      <c r="M14" s="330"/>
      <c r="N14" s="331"/>
      <c r="O14" s="238"/>
      <c r="P14" s="309"/>
    </row>
    <row r="15" spans="1:16" ht="13.5" thickBot="1" x14ac:dyDescent="0.25">
      <c r="A15" s="50" t="s">
        <v>333</v>
      </c>
      <c r="B15" s="1805">
        <f>SUM('2.sz.melléklet'!K157)</f>
        <v>100000</v>
      </c>
      <c r="C15" s="333"/>
      <c r="D15" s="333"/>
      <c r="E15" s="333"/>
      <c r="F15" s="333">
        <v>100000</v>
      </c>
      <c r="G15" s="333"/>
      <c r="H15" s="333"/>
      <c r="I15" s="333"/>
      <c r="J15" s="333"/>
      <c r="K15" s="333"/>
      <c r="L15" s="333"/>
      <c r="M15" s="333"/>
      <c r="N15" s="332"/>
      <c r="O15" s="238"/>
      <c r="P15" s="309"/>
    </row>
    <row r="16" spans="1:16" ht="13.5" thickBot="1" x14ac:dyDescent="0.25">
      <c r="A16" s="51" t="s">
        <v>20</v>
      </c>
      <c r="B16" s="334">
        <f>SUM(B8:B15)</f>
        <v>1461488</v>
      </c>
      <c r="C16" s="335">
        <f>SUM(C8:C15)</f>
        <v>60210.166666666664</v>
      </c>
      <c r="D16" s="335">
        <f t="shared" ref="D16:N16" si="2">SUM(D8:D15)</f>
        <v>70195.166666666657</v>
      </c>
      <c r="E16" s="335">
        <f t="shared" si="2"/>
        <v>86210.166666666657</v>
      </c>
      <c r="F16" s="335">
        <f t="shared" si="2"/>
        <v>332210.16666666663</v>
      </c>
      <c r="G16" s="335">
        <f t="shared" si="2"/>
        <v>73290.166666666657</v>
      </c>
      <c r="H16" s="335">
        <f t="shared" si="2"/>
        <v>135210.16666666666</v>
      </c>
      <c r="I16" s="335">
        <f t="shared" si="2"/>
        <v>93310.166666666672</v>
      </c>
      <c r="J16" s="335">
        <f t="shared" si="2"/>
        <v>82674.916666666672</v>
      </c>
      <c r="K16" s="335">
        <f t="shared" si="2"/>
        <v>215210.16666666666</v>
      </c>
      <c r="L16" s="335">
        <f t="shared" si="2"/>
        <v>259210.16666666666</v>
      </c>
      <c r="M16" s="335">
        <f t="shared" si="2"/>
        <v>20290.166666666664</v>
      </c>
      <c r="N16" s="335">
        <f t="shared" si="2"/>
        <v>25506.166666666664</v>
      </c>
      <c r="O16" s="238"/>
      <c r="P16" s="309"/>
    </row>
    <row r="17" spans="1:16" x14ac:dyDescent="0.2">
      <c r="A17" s="52"/>
      <c r="B17" s="336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6"/>
      <c r="O17" s="238"/>
      <c r="P17" s="309"/>
    </row>
    <row r="18" spans="1:16" x14ac:dyDescent="0.2">
      <c r="A18" s="53" t="s">
        <v>42</v>
      </c>
      <c r="B18" s="328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8"/>
      <c r="O18" s="238"/>
      <c r="P18" s="309"/>
    </row>
    <row r="19" spans="1:16" x14ac:dyDescent="0.2">
      <c r="A19" s="54"/>
      <c r="B19" s="328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8"/>
      <c r="O19" s="238"/>
      <c r="P19" s="309"/>
    </row>
    <row r="20" spans="1:16" x14ac:dyDescent="0.2">
      <c r="A20" s="49" t="s">
        <v>43</v>
      </c>
      <c r="B20" s="326">
        <f>'6. sz.melléklet'!C155+'6. sz.melléklet'!D155+'6. sz.melléklet'!E155+'6. sz.melléklet'!I155</f>
        <v>256521</v>
      </c>
      <c r="C20" s="327">
        <f>$B$20/12</f>
        <v>21376.75</v>
      </c>
      <c r="D20" s="327">
        <f t="shared" ref="D20:M20" si="3">$B$20/12</f>
        <v>21376.75</v>
      </c>
      <c r="E20" s="327">
        <f t="shared" si="3"/>
        <v>21376.75</v>
      </c>
      <c r="F20" s="327">
        <f t="shared" si="3"/>
        <v>21376.75</v>
      </c>
      <c r="G20" s="327">
        <f t="shared" si="3"/>
        <v>21376.75</v>
      </c>
      <c r="H20" s="327">
        <f t="shared" si="3"/>
        <v>21376.75</v>
      </c>
      <c r="I20" s="327">
        <f t="shared" si="3"/>
        <v>21376.75</v>
      </c>
      <c r="J20" s="327">
        <f t="shared" si="3"/>
        <v>21376.75</v>
      </c>
      <c r="K20" s="327">
        <f t="shared" si="3"/>
        <v>21376.75</v>
      </c>
      <c r="L20" s="327">
        <f t="shared" si="3"/>
        <v>21376.75</v>
      </c>
      <c r="M20" s="327">
        <f t="shared" si="3"/>
        <v>21376.75</v>
      </c>
      <c r="N20" s="328">
        <v>20328</v>
      </c>
      <c r="O20" s="238"/>
      <c r="P20" s="309"/>
    </row>
    <row r="21" spans="1:16" x14ac:dyDescent="0.2">
      <c r="A21" s="49" t="s">
        <v>44</v>
      </c>
      <c r="B21" s="326">
        <f>'6. sz.melléklet'!G155</f>
        <v>227360</v>
      </c>
      <c r="C21" s="327"/>
      <c r="D21" s="327">
        <v>1950</v>
      </c>
      <c r="E21" s="327">
        <v>5000</v>
      </c>
      <c r="F21" s="327">
        <v>5500</v>
      </c>
      <c r="G21" s="327">
        <v>500</v>
      </c>
      <c r="H21" s="327">
        <v>54000</v>
      </c>
      <c r="I21" s="327">
        <v>500</v>
      </c>
      <c r="J21" s="327">
        <v>950</v>
      </c>
      <c r="K21" s="327">
        <v>84000</v>
      </c>
      <c r="L21" s="327">
        <v>35000</v>
      </c>
      <c r="M21" s="327">
        <v>35000</v>
      </c>
      <c r="N21" s="328"/>
      <c r="O21" s="238"/>
      <c r="P21" s="309"/>
    </row>
    <row r="22" spans="1:16" x14ac:dyDescent="0.2">
      <c r="A22" s="49" t="s">
        <v>128</v>
      </c>
      <c r="B22" s="326">
        <f>'6. sz.melléklet'!H155</f>
        <v>284087</v>
      </c>
      <c r="C22" s="327">
        <v>380</v>
      </c>
      <c r="D22" s="327">
        <v>380</v>
      </c>
      <c r="E22" s="327">
        <v>380</v>
      </c>
      <c r="F22" s="327">
        <v>113410</v>
      </c>
      <c r="G22" s="327">
        <f>380+14000</f>
        <v>14380</v>
      </c>
      <c r="H22" s="327">
        <v>440</v>
      </c>
      <c r="I22" s="327">
        <v>31380</v>
      </c>
      <c r="J22" s="327">
        <v>26380</v>
      </c>
      <c r="K22" s="327">
        <v>45390</v>
      </c>
      <c r="L22" s="327">
        <v>25380</v>
      </c>
      <c r="M22" s="327">
        <v>25380</v>
      </c>
      <c r="N22" s="327">
        <v>380</v>
      </c>
      <c r="O22" s="238"/>
      <c r="P22" s="309"/>
    </row>
    <row r="23" spans="1:16" x14ac:dyDescent="0.2">
      <c r="A23" s="49" t="s">
        <v>241</v>
      </c>
      <c r="B23" s="326">
        <f>'6. sz.melléklet'!F155</f>
        <v>50501</v>
      </c>
      <c r="C23" s="327">
        <f>$B23/12</f>
        <v>4208.416666666667</v>
      </c>
      <c r="D23" s="327">
        <f t="shared" ref="D23:N23" si="4">$B23/12</f>
        <v>4208.416666666667</v>
      </c>
      <c r="E23" s="327">
        <f t="shared" si="4"/>
        <v>4208.416666666667</v>
      </c>
      <c r="F23" s="327">
        <f>$B23/12</f>
        <v>4208.416666666667</v>
      </c>
      <c r="G23" s="327">
        <f>$B23/12</f>
        <v>4208.416666666667</v>
      </c>
      <c r="H23" s="327">
        <f t="shared" si="4"/>
        <v>4208.416666666667</v>
      </c>
      <c r="I23" s="327">
        <f t="shared" si="4"/>
        <v>4208.416666666667</v>
      </c>
      <c r="J23" s="327">
        <f t="shared" si="4"/>
        <v>4208.416666666667</v>
      </c>
      <c r="K23" s="327">
        <f t="shared" si="4"/>
        <v>4208.416666666667</v>
      </c>
      <c r="L23" s="327">
        <f t="shared" si="4"/>
        <v>4208.416666666667</v>
      </c>
      <c r="M23" s="327">
        <f t="shared" si="4"/>
        <v>4208.416666666667</v>
      </c>
      <c r="N23" s="328">
        <f t="shared" si="4"/>
        <v>4208.416666666667</v>
      </c>
      <c r="O23" s="238"/>
      <c r="P23" s="309"/>
    </row>
    <row r="24" spans="1:16" x14ac:dyDescent="0.2">
      <c r="A24" s="49" t="s">
        <v>349</v>
      </c>
      <c r="B24" s="326">
        <f>'6. sz.melléklet'!J155</f>
        <v>169055</v>
      </c>
      <c r="C24" s="327"/>
      <c r="D24" s="327">
        <v>12700</v>
      </c>
      <c r="E24" s="327"/>
      <c r="F24" s="327">
        <v>155000</v>
      </c>
      <c r="G24" s="327"/>
      <c r="H24" s="327"/>
      <c r="I24" s="327">
        <v>1355</v>
      </c>
      <c r="J24" s="327"/>
      <c r="K24" s="327"/>
      <c r="L24" s="327"/>
      <c r="M24" s="327"/>
      <c r="N24" s="328"/>
      <c r="O24" s="238"/>
      <c r="P24" s="309"/>
    </row>
    <row r="25" spans="1:16" x14ac:dyDescent="0.2">
      <c r="A25" s="49" t="s">
        <v>45</v>
      </c>
      <c r="B25" s="326">
        <f>'1.sz. melléklet'!B27+'1.sz. melléklet'!B28</f>
        <v>84851</v>
      </c>
      <c r="C25" s="327"/>
      <c r="D25" s="327"/>
      <c r="E25" s="327">
        <v>25342</v>
      </c>
      <c r="F25" s="327"/>
      <c r="G25" s="327"/>
      <c r="H25" s="327">
        <v>25342</v>
      </c>
      <c r="I25" s="327"/>
      <c r="J25" s="327"/>
      <c r="K25" s="327">
        <v>25342</v>
      </c>
      <c r="L25" s="327"/>
      <c r="M25" s="327"/>
      <c r="N25" s="328">
        <v>19826</v>
      </c>
      <c r="O25" s="238"/>
      <c r="P25" s="309"/>
    </row>
    <row r="26" spans="1:16" ht="13.5" thickBot="1" x14ac:dyDescent="0.25">
      <c r="A26" s="57" t="s">
        <v>130</v>
      </c>
      <c r="B26" s="338">
        <f>'6. sz.melléklet'!M155</f>
        <v>389113</v>
      </c>
      <c r="C26" s="339">
        <f>C40+C58+C76+C94+3424</f>
        <v>35368.75</v>
      </c>
      <c r="D26" s="339">
        <f t="shared" ref="D26:M26" si="5">D40+D58+D76+D94</f>
        <v>31848.75</v>
      </c>
      <c r="E26" s="339">
        <f t="shared" si="5"/>
        <v>33038.333333333336</v>
      </c>
      <c r="F26" s="339">
        <f>F40+F58+F76+F94</f>
        <v>33539.333333333336</v>
      </c>
      <c r="G26" s="339">
        <f t="shared" si="5"/>
        <v>36038.333333333343</v>
      </c>
      <c r="H26" s="339">
        <f t="shared" si="5"/>
        <v>32838.333333333336</v>
      </c>
      <c r="I26" s="339">
        <f t="shared" si="5"/>
        <v>33667.083333333328</v>
      </c>
      <c r="J26" s="339">
        <f t="shared" si="5"/>
        <v>31349.75</v>
      </c>
      <c r="K26" s="339">
        <f t="shared" si="5"/>
        <v>31890.75</v>
      </c>
      <c r="L26" s="339">
        <f t="shared" si="5"/>
        <v>31448.75</v>
      </c>
      <c r="M26" s="339">
        <f t="shared" si="5"/>
        <v>31812.75</v>
      </c>
      <c r="N26" s="339">
        <v>13747</v>
      </c>
      <c r="O26" s="238"/>
      <c r="P26" s="309"/>
    </row>
    <row r="27" spans="1:16" ht="13.5" thickBot="1" x14ac:dyDescent="0.25">
      <c r="A27" s="55" t="s">
        <v>46</v>
      </c>
      <c r="B27" s="340">
        <f>SUM(B20:B26)</f>
        <v>1461488</v>
      </c>
      <c r="C27" s="341">
        <f>SUM(C20:C26)</f>
        <v>61333.916666666672</v>
      </c>
      <c r="D27" s="341">
        <f>SUM(D20:D26)</f>
        <v>72463.916666666672</v>
      </c>
      <c r="E27" s="341">
        <f t="shared" ref="E27:M27" si="6">SUM(E20:E26)</f>
        <v>89345.5</v>
      </c>
      <c r="F27" s="341">
        <f t="shared" si="6"/>
        <v>333034.49999999994</v>
      </c>
      <c r="G27" s="341">
        <f t="shared" si="6"/>
        <v>76503.5</v>
      </c>
      <c r="H27" s="341">
        <f t="shared" si="6"/>
        <v>138205.5</v>
      </c>
      <c r="I27" s="341">
        <f t="shared" si="6"/>
        <v>92487.25</v>
      </c>
      <c r="J27" s="341">
        <f t="shared" si="6"/>
        <v>84264.916666666657</v>
      </c>
      <c r="K27" s="341">
        <f t="shared" si="6"/>
        <v>212207.91666666666</v>
      </c>
      <c r="L27" s="341">
        <f t="shared" si="6"/>
        <v>117413.91666666667</v>
      </c>
      <c r="M27" s="341">
        <f t="shared" si="6"/>
        <v>117777.91666666667</v>
      </c>
      <c r="N27" s="340">
        <f>SUM(N20:N26)</f>
        <v>58489.416666666672</v>
      </c>
      <c r="O27" s="238"/>
      <c r="P27" s="309"/>
    </row>
    <row r="28" spans="1:16" ht="13.5" thickBot="1" x14ac:dyDescent="0.25">
      <c r="A28" s="56"/>
      <c r="B28" s="342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2"/>
      <c r="O28" s="238"/>
      <c r="P28" s="309"/>
    </row>
    <row r="29" spans="1:16" ht="13.5" thickBot="1" x14ac:dyDescent="0.25">
      <c r="A29" s="55" t="s">
        <v>47</v>
      </c>
      <c r="B29" s="344">
        <f>B27-B16</f>
        <v>0</v>
      </c>
      <c r="C29" s="345">
        <f>C16-C27</f>
        <v>-1123.7500000000073</v>
      </c>
      <c r="D29" s="345">
        <f t="shared" ref="D29:N29" si="7">D16-D27</f>
        <v>-2268.7500000000146</v>
      </c>
      <c r="E29" s="345">
        <f t="shared" si="7"/>
        <v>-3135.333333333343</v>
      </c>
      <c r="F29" s="345">
        <f t="shared" si="7"/>
        <v>-824.33333333331393</v>
      </c>
      <c r="G29" s="345">
        <f t="shared" si="7"/>
        <v>-3213.333333333343</v>
      </c>
      <c r="H29" s="345">
        <f t="shared" si="7"/>
        <v>-2995.333333333343</v>
      </c>
      <c r="I29" s="345">
        <f t="shared" si="7"/>
        <v>822.91666666667152</v>
      </c>
      <c r="J29" s="345">
        <f t="shared" si="7"/>
        <v>-1589.9999999999854</v>
      </c>
      <c r="K29" s="345">
        <f t="shared" si="7"/>
        <v>3002.25</v>
      </c>
      <c r="L29" s="345">
        <f t="shared" si="7"/>
        <v>141796.25</v>
      </c>
      <c r="M29" s="345">
        <f t="shared" si="7"/>
        <v>-97487.75</v>
      </c>
      <c r="N29" s="344">
        <f t="shared" si="7"/>
        <v>-32983.250000000007</v>
      </c>
      <c r="O29" s="238"/>
      <c r="P29" s="309"/>
    </row>
    <row r="30" spans="1:16" x14ac:dyDescent="0.2">
      <c r="A30" s="169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98"/>
      <c r="O30" s="238"/>
      <c r="P30" s="309"/>
    </row>
    <row r="31" spans="1:16" s="240" customFormat="1" x14ac:dyDescent="0.2">
      <c r="A31" s="239" t="s">
        <v>75</v>
      </c>
      <c r="B31" s="346"/>
      <c r="C31" s="346">
        <f>C16-C27</f>
        <v>-1123.7500000000073</v>
      </c>
      <c r="D31" s="346">
        <f>C31+D16-D27</f>
        <v>-3392.5000000000146</v>
      </c>
      <c r="E31" s="346">
        <f t="shared" ref="E31:N31" si="8">D31+E16-E27</f>
        <v>-6527.8333333333576</v>
      </c>
      <c r="F31" s="346">
        <f t="shared" si="8"/>
        <v>-7352.1666666666861</v>
      </c>
      <c r="G31" s="346">
        <f t="shared" si="8"/>
        <v>-10565.500000000029</v>
      </c>
      <c r="H31" s="346">
        <f t="shared" si="8"/>
        <v>-13560.833333333372</v>
      </c>
      <c r="I31" s="346">
        <f t="shared" si="8"/>
        <v>-12737.916666666701</v>
      </c>
      <c r="J31" s="346">
        <f t="shared" si="8"/>
        <v>-14327.916666666686</v>
      </c>
      <c r="K31" s="346">
        <f t="shared" si="8"/>
        <v>-11325.666666666686</v>
      </c>
      <c r="L31" s="346">
        <f t="shared" si="8"/>
        <v>130470.5833333333</v>
      </c>
      <c r="M31" s="346">
        <f t="shared" si="8"/>
        <v>32982.833333333299</v>
      </c>
      <c r="N31" s="347">
        <f t="shared" si="8"/>
        <v>-0.41666666670789709</v>
      </c>
      <c r="O31" s="238"/>
      <c r="P31" s="309"/>
    </row>
    <row r="32" spans="1:16" ht="8.25" customHeight="1" x14ac:dyDescent="0.2">
      <c r="A32" s="169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98"/>
      <c r="O32" s="238"/>
      <c r="P32" s="309"/>
    </row>
    <row r="33" spans="1:16" hidden="1" x14ac:dyDescent="0.2">
      <c r="A33" s="169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98"/>
      <c r="O33" s="238"/>
    </row>
    <row r="34" spans="1:16" ht="13.5" thickBot="1" x14ac:dyDescent="0.25">
      <c r="A34" s="229" t="s">
        <v>31</v>
      </c>
      <c r="B34" s="230"/>
      <c r="C34" s="231"/>
      <c r="D34" s="231"/>
      <c r="E34" s="231"/>
      <c r="F34" s="230"/>
      <c r="G34" s="232"/>
      <c r="H34" s="232"/>
      <c r="I34" s="233"/>
      <c r="J34" s="234"/>
      <c r="K34" s="234" t="s">
        <v>0</v>
      </c>
      <c r="L34" s="235"/>
      <c r="M34" s="234"/>
      <c r="N34" s="236"/>
      <c r="O34" s="238"/>
    </row>
    <row r="35" spans="1:16" x14ac:dyDescent="0.2">
      <c r="A35" s="39" t="s">
        <v>33</v>
      </c>
      <c r="B35" s="42" t="s">
        <v>1</v>
      </c>
      <c r="C35" s="40" t="s">
        <v>34</v>
      </c>
      <c r="D35" s="40" t="s">
        <v>35</v>
      </c>
      <c r="E35" s="40" t="s">
        <v>36</v>
      </c>
      <c r="F35" s="40" t="s">
        <v>37</v>
      </c>
      <c r="G35" s="40" t="s">
        <v>38</v>
      </c>
      <c r="H35" s="40" t="s">
        <v>39</v>
      </c>
      <c r="I35" s="40" t="s">
        <v>40</v>
      </c>
      <c r="J35" s="40" t="s">
        <v>48</v>
      </c>
      <c r="K35" s="41" t="s">
        <v>49</v>
      </c>
      <c r="L35" s="40" t="s">
        <v>50</v>
      </c>
      <c r="M35" s="40" t="s">
        <v>51</v>
      </c>
      <c r="N35" s="42" t="s">
        <v>52</v>
      </c>
      <c r="O35" s="238"/>
    </row>
    <row r="36" spans="1:16" ht="13.5" thickBot="1" x14ac:dyDescent="0.25">
      <c r="A36" s="43" t="s">
        <v>41</v>
      </c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238"/>
    </row>
    <row r="37" spans="1:16" ht="8.25" customHeight="1" x14ac:dyDescent="0.2">
      <c r="A37" s="46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238"/>
    </row>
    <row r="38" spans="1:16" x14ac:dyDescent="0.2">
      <c r="A38" s="477" t="s">
        <v>192</v>
      </c>
      <c r="B38" s="48">
        <f>'13.sz.melléklet'!C38</f>
        <v>100</v>
      </c>
      <c r="C38" s="47">
        <f>$B$38/12</f>
        <v>8.3333333333333339</v>
      </c>
      <c r="D38" s="47">
        <f t="shared" ref="D38:N38" si="9">$B$38/12</f>
        <v>8.3333333333333339</v>
      </c>
      <c r="E38" s="47">
        <v>9</v>
      </c>
      <c r="F38" s="47">
        <v>9</v>
      </c>
      <c r="G38" s="47">
        <v>9</v>
      </c>
      <c r="H38" s="47">
        <v>9</v>
      </c>
      <c r="I38" s="47">
        <f t="shared" si="9"/>
        <v>8.3333333333333339</v>
      </c>
      <c r="J38" s="47">
        <f t="shared" si="9"/>
        <v>8.3333333333333339</v>
      </c>
      <c r="K38" s="47">
        <f t="shared" si="9"/>
        <v>8.3333333333333339</v>
      </c>
      <c r="L38" s="47">
        <f t="shared" si="9"/>
        <v>8.3333333333333339</v>
      </c>
      <c r="M38" s="47">
        <f t="shared" si="9"/>
        <v>8.3333333333333339</v>
      </c>
      <c r="N38" s="47">
        <f t="shared" si="9"/>
        <v>8.3333333333333339</v>
      </c>
      <c r="O38" s="238"/>
      <c r="P38" s="309"/>
    </row>
    <row r="39" spans="1:16" x14ac:dyDescent="0.2">
      <c r="A39" s="49" t="s">
        <v>329</v>
      </c>
      <c r="B39" s="326">
        <f>'13.sz.melléklet'!D38</f>
        <v>14554</v>
      </c>
      <c r="C39" s="327">
        <f>$B$39/12</f>
        <v>1212.8333333333333</v>
      </c>
      <c r="D39" s="327">
        <f t="shared" ref="D39:N39" si="10">$B$39/12</f>
        <v>1212.8333333333333</v>
      </c>
      <c r="E39" s="327">
        <f t="shared" si="10"/>
        <v>1212.8333333333333</v>
      </c>
      <c r="F39" s="327">
        <f t="shared" si="10"/>
        <v>1212.8333333333333</v>
      </c>
      <c r="G39" s="327">
        <f t="shared" si="10"/>
        <v>1212.8333333333333</v>
      </c>
      <c r="H39" s="327">
        <f t="shared" si="10"/>
        <v>1212.8333333333333</v>
      </c>
      <c r="I39" s="327">
        <f t="shared" si="10"/>
        <v>1212.8333333333333</v>
      </c>
      <c r="J39" s="327">
        <f t="shared" si="10"/>
        <v>1212.8333333333333</v>
      </c>
      <c r="K39" s="327">
        <f t="shared" si="10"/>
        <v>1212.8333333333333</v>
      </c>
      <c r="L39" s="327">
        <f t="shared" si="10"/>
        <v>1212.8333333333333</v>
      </c>
      <c r="M39" s="327">
        <f t="shared" si="10"/>
        <v>1212.8333333333333</v>
      </c>
      <c r="N39" s="328">
        <f t="shared" si="10"/>
        <v>1212.8333333333333</v>
      </c>
      <c r="O39" s="238"/>
      <c r="P39" s="309"/>
    </row>
    <row r="40" spans="1:16" x14ac:dyDescent="0.2">
      <c r="A40" s="49" t="s">
        <v>333</v>
      </c>
      <c r="B40" s="329">
        <f>'13.sz.melléklet'!E38</f>
        <v>117569</v>
      </c>
      <c r="C40" s="330">
        <f>$B$40/12</f>
        <v>9797.4166666666661</v>
      </c>
      <c r="D40" s="330">
        <f t="shared" ref="D40:M40" si="11">$B$40/12</f>
        <v>9797.4166666666661</v>
      </c>
      <c r="E40" s="330">
        <v>10987</v>
      </c>
      <c r="F40" s="330">
        <v>10987</v>
      </c>
      <c r="G40" s="330">
        <v>11687</v>
      </c>
      <c r="H40" s="330">
        <v>10987</v>
      </c>
      <c r="I40" s="330">
        <f t="shared" si="11"/>
        <v>9797.4166666666661</v>
      </c>
      <c r="J40" s="330">
        <f t="shared" si="11"/>
        <v>9797.4166666666661</v>
      </c>
      <c r="K40" s="330">
        <f t="shared" si="11"/>
        <v>9797.4166666666661</v>
      </c>
      <c r="L40" s="330">
        <f t="shared" si="11"/>
        <v>9797.4166666666661</v>
      </c>
      <c r="M40" s="330">
        <f t="shared" si="11"/>
        <v>9797.4166666666661</v>
      </c>
      <c r="N40" s="331">
        <f>$B$40/12-700</f>
        <v>9097.4166666666661</v>
      </c>
      <c r="O40" s="238"/>
      <c r="P40" s="309"/>
    </row>
    <row r="41" spans="1:16" ht="13.5" thickBot="1" x14ac:dyDescent="0.25">
      <c r="A41" s="50"/>
      <c r="B41" s="332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2"/>
      <c r="O41" s="238"/>
      <c r="P41" s="309"/>
    </row>
    <row r="42" spans="1:16" ht="13.5" thickBot="1" x14ac:dyDescent="0.25">
      <c r="A42" s="51" t="s">
        <v>20</v>
      </c>
      <c r="B42" s="334">
        <f>SUM(B38:B41)</f>
        <v>132223</v>
      </c>
      <c r="C42" s="335">
        <f>SUM(C38:C41)</f>
        <v>11018.583333333332</v>
      </c>
      <c r="D42" s="335">
        <f t="shared" ref="D42:N42" si="12">SUM(D38:D41)</f>
        <v>11018.583333333332</v>
      </c>
      <c r="E42" s="335">
        <f t="shared" si="12"/>
        <v>12208.833333333334</v>
      </c>
      <c r="F42" s="335">
        <f t="shared" si="12"/>
        <v>12208.833333333334</v>
      </c>
      <c r="G42" s="335">
        <f t="shared" si="12"/>
        <v>12908.833333333334</v>
      </c>
      <c r="H42" s="335">
        <f t="shared" si="12"/>
        <v>12208.833333333334</v>
      </c>
      <c r="I42" s="335">
        <f t="shared" si="12"/>
        <v>11018.583333333332</v>
      </c>
      <c r="J42" s="335">
        <f t="shared" si="12"/>
        <v>11018.583333333332</v>
      </c>
      <c r="K42" s="335">
        <f t="shared" si="12"/>
        <v>11018.583333333332</v>
      </c>
      <c r="L42" s="335">
        <f t="shared" si="12"/>
        <v>11018.583333333332</v>
      </c>
      <c r="M42" s="335">
        <f t="shared" si="12"/>
        <v>11018.583333333332</v>
      </c>
      <c r="N42" s="335">
        <f t="shared" si="12"/>
        <v>10318.583333333332</v>
      </c>
      <c r="O42" s="238"/>
      <c r="P42" s="309"/>
    </row>
    <row r="43" spans="1:16" ht="6" customHeight="1" x14ac:dyDescent="0.2">
      <c r="A43" s="52"/>
      <c r="B43" s="336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6"/>
      <c r="O43" s="238"/>
      <c r="P43" s="309"/>
    </row>
    <row r="44" spans="1:16" x14ac:dyDescent="0.2">
      <c r="A44" s="53" t="s">
        <v>42</v>
      </c>
      <c r="B44" s="328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8"/>
      <c r="O44" s="238"/>
      <c r="P44" s="309"/>
    </row>
    <row r="45" spans="1:16" x14ac:dyDescent="0.2">
      <c r="A45" s="53"/>
      <c r="B45" s="328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8"/>
      <c r="O45" s="238"/>
      <c r="P45" s="309"/>
    </row>
    <row r="46" spans="1:16" x14ac:dyDescent="0.2">
      <c r="A46" s="54" t="s">
        <v>128</v>
      </c>
      <c r="B46" s="326">
        <f>SUM('1.sz. melléklet'!E23)</f>
        <v>2100</v>
      </c>
      <c r="C46" s="327"/>
      <c r="D46" s="327">
        <v>45</v>
      </c>
      <c r="E46" s="327">
        <v>45</v>
      </c>
      <c r="F46" s="327">
        <v>45</v>
      </c>
      <c r="G46" s="327">
        <f>45+1300</f>
        <v>1345</v>
      </c>
      <c r="H46" s="327">
        <f>45+5</f>
        <v>50</v>
      </c>
      <c r="I46" s="327">
        <v>45</v>
      </c>
      <c r="J46" s="327">
        <v>45</v>
      </c>
      <c r="K46" s="327">
        <f>45+200</f>
        <v>245</v>
      </c>
      <c r="L46" s="327">
        <v>45</v>
      </c>
      <c r="M46" s="327">
        <v>45</v>
      </c>
      <c r="N46" s="327">
        <v>45</v>
      </c>
      <c r="O46" s="238"/>
      <c r="P46" s="309"/>
    </row>
    <row r="47" spans="1:16" ht="13.5" thickBot="1" x14ac:dyDescent="0.25">
      <c r="A47" s="49" t="s">
        <v>43</v>
      </c>
      <c r="B47" s="326">
        <f>B42-B46</f>
        <v>130123</v>
      </c>
      <c r="C47" s="327">
        <f>$B$47/12+405</f>
        <v>11248.583333333334</v>
      </c>
      <c r="D47" s="327">
        <f t="shared" ref="D47:M47" si="13">$B$47/12+405</f>
        <v>11248.583333333334</v>
      </c>
      <c r="E47" s="327">
        <f t="shared" si="13"/>
        <v>11248.583333333334</v>
      </c>
      <c r="F47" s="327">
        <f t="shared" si="13"/>
        <v>11248.583333333334</v>
      </c>
      <c r="G47" s="327">
        <f t="shared" si="13"/>
        <v>11248.583333333334</v>
      </c>
      <c r="H47" s="327">
        <f t="shared" si="13"/>
        <v>11248.583333333334</v>
      </c>
      <c r="I47" s="327">
        <f t="shared" si="13"/>
        <v>11248.583333333334</v>
      </c>
      <c r="J47" s="327">
        <f t="shared" si="13"/>
        <v>11248.583333333334</v>
      </c>
      <c r="K47" s="327">
        <f t="shared" si="13"/>
        <v>11248.583333333334</v>
      </c>
      <c r="L47" s="327">
        <f t="shared" si="13"/>
        <v>11248.583333333334</v>
      </c>
      <c r="M47" s="327">
        <f t="shared" si="13"/>
        <v>11248.583333333334</v>
      </c>
      <c r="N47" s="327">
        <v>11250</v>
      </c>
      <c r="O47" s="238"/>
      <c r="P47" s="309"/>
    </row>
    <row r="48" spans="1:16" ht="13.5" thickBot="1" x14ac:dyDescent="0.25">
      <c r="A48" s="55" t="s">
        <v>46</v>
      </c>
      <c r="B48" s="340">
        <f>SUM(B46:B47)</f>
        <v>132223</v>
      </c>
      <c r="C48" s="341">
        <f>SUM(C46:C47)</f>
        <v>11248.583333333334</v>
      </c>
      <c r="D48" s="341">
        <f t="shared" ref="D48:N48" si="14">SUM(D46:D47)</f>
        <v>11293.583333333334</v>
      </c>
      <c r="E48" s="341">
        <f t="shared" si="14"/>
        <v>11293.583333333334</v>
      </c>
      <c r="F48" s="341">
        <f t="shared" si="14"/>
        <v>11293.583333333334</v>
      </c>
      <c r="G48" s="341">
        <f t="shared" si="14"/>
        <v>12593.583333333334</v>
      </c>
      <c r="H48" s="341">
        <f t="shared" si="14"/>
        <v>11298.583333333334</v>
      </c>
      <c r="I48" s="341">
        <f t="shared" si="14"/>
        <v>11293.583333333334</v>
      </c>
      <c r="J48" s="341">
        <f t="shared" si="14"/>
        <v>11293.583333333334</v>
      </c>
      <c r="K48" s="341">
        <f t="shared" si="14"/>
        <v>11493.583333333334</v>
      </c>
      <c r="L48" s="341">
        <f t="shared" si="14"/>
        <v>11293.583333333334</v>
      </c>
      <c r="M48" s="341">
        <f t="shared" si="14"/>
        <v>11293.583333333334</v>
      </c>
      <c r="N48" s="341">
        <f t="shared" si="14"/>
        <v>11295</v>
      </c>
      <c r="O48" s="238"/>
      <c r="P48" s="309"/>
    </row>
    <row r="49" spans="1:16" ht="13.5" thickBot="1" x14ac:dyDescent="0.25">
      <c r="A49" s="56"/>
      <c r="B49" s="342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2"/>
      <c r="O49" s="238"/>
      <c r="P49" s="309"/>
    </row>
    <row r="50" spans="1:16" ht="13.5" thickBot="1" x14ac:dyDescent="0.25">
      <c r="A50" s="55" t="s">
        <v>47</v>
      </c>
      <c r="B50" s="344">
        <f>B48-B42</f>
        <v>0</v>
      </c>
      <c r="C50" s="345">
        <f t="shared" ref="C50:N50" si="15">C42-C48</f>
        <v>-230.00000000000182</v>
      </c>
      <c r="D50" s="345">
        <f t="shared" si="15"/>
        <v>-275.00000000000182</v>
      </c>
      <c r="E50" s="345">
        <f t="shared" si="15"/>
        <v>915.25</v>
      </c>
      <c r="F50" s="345">
        <f t="shared" si="15"/>
        <v>915.25</v>
      </c>
      <c r="G50" s="345">
        <f t="shared" si="15"/>
        <v>315.25</v>
      </c>
      <c r="H50" s="345">
        <f t="shared" si="15"/>
        <v>910.25</v>
      </c>
      <c r="I50" s="345">
        <f t="shared" si="15"/>
        <v>-275.00000000000182</v>
      </c>
      <c r="J50" s="345">
        <f t="shared" si="15"/>
        <v>-275.00000000000182</v>
      </c>
      <c r="K50" s="345">
        <f t="shared" si="15"/>
        <v>-475.00000000000182</v>
      </c>
      <c r="L50" s="345">
        <f t="shared" si="15"/>
        <v>-275.00000000000182</v>
      </c>
      <c r="M50" s="345">
        <f t="shared" si="15"/>
        <v>-275.00000000000182</v>
      </c>
      <c r="N50" s="344">
        <f t="shared" si="15"/>
        <v>-976.41666666666788</v>
      </c>
      <c r="O50" s="238"/>
      <c r="P50" s="309"/>
    </row>
    <row r="51" spans="1:16" x14ac:dyDescent="0.2">
      <c r="A51" s="169" t="s">
        <v>75</v>
      </c>
      <c r="B51" s="282"/>
      <c r="C51" s="282">
        <f>C42-C48</f>
        <v>-230.00000000000182</v>
      </c>
      <c r="D51" s="282">
        <f t="shared" ref="D51:N51" si="16">C51+D42-D48</f>
        <v>-505.00000000000364</v>
      </c>
      <c r="E51" s="282">
        <f t="shared" si="16"/>
        <v>410.24999999999636</v>
      </c>
      <c r="F51" s="282">
        <f t="shared" si="16"/>
        <v>1325.4999999999964</v>
      </c>
      <c r="G51" s="282">
        <f t="shared" si="16"/>
        <v>1640.7499999999964</v>
      </c>
      <c r="H51" s="282">
        <f t="shared" si="16"/>
        <v>2550.9999999999964</v>
      </c>
      <c r="I51" s="282">
        <f t="shared" si="16"/>
        <v>2275.9999999999945</v>
      </c>
      <c r="J51" s="282">
        <f t="shared" si="16"/>
        <v>2000.9999999999927</v>
      </c>
      <c r="K51" s="282">
        <f t="shared" si="16"/>
        <v>1525.9999999999909</v>
      </c>
      <c r="L51" s="282">
        <f t="shared" si="16"/>
        <v>1250.9999999999891</v>
      </c>
      <c r="M51" s="282">
        <f t="shared" si="16"/>
        <v>975.99999999998727</v>
      </c>
      <c r="N51" s="298">
        <f t="shared" si="16"/>
        <v>-0.41666666668061225</v>
      </c>
      <c r="O51" s="238"/>
      <c r="P51" s="309"/>
    </row>
    <row r="52" spans="1:16" x14ac:dyDescent="0.2">
      <c r="A52" s="169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98"/>
      <c r="O52" s="238"/>
      <c r="P52" s="309"/>
    </row>
    <row r="53" spans="1:16" ht="13.5" thickBot="1" x14ac:dyDescent="0.25">
      <c r="A53" s="229" t="s">
        <v>57</v>
      </c>
      <c r="B53" s="230"/>
      <c r="C53" s="231"/>
      <c r="D53" s="231"/>
      <c r="E53" s="231"/>
      <c r="F53" s="230"/>
      <c r="G53" s="232"/>
      <c r="H53" s="232"/>
      <c r="I53" s="233"/>
      <c r="J53" s="234"/>
      <c r="K53" s="234" t="s">
        <v>0</v>
      </c>
      <c r="L53" s="235"/>
      <c r="M53" s="234"/>
      <c r="N53" s="236"/>
      <c r="O53" s="238"/>
      <c r="P53" s="309"/>
    </row>
    <row r="54" spans="1:16" x14ac:dyDescent="0.2">
      <c r="A54" s="39" t="s">
        <v>33</v>
      </c>
      <c r="B54" s="42" t="s">
        <v>1</v>
      </c>
      <c r="C54" s="40" t="s">
        <v>34</v>
      </c>
      <c r="D54" s="40" t="s">
        <v>35</v>
      </c>
      <c r="E54" s="40" t="s">
        <v>36</v>
      </c>
      <c r="F54" s="40" t="s">
        <v>37</v>
      </c>
      <c r="G54" s="40" t="s">
        <v>38</v>
      </c>
      <c r="H54" s="40" t="s">
        <v>39</v>
      </c>
      <c r="I54" s="40" t="s">
        <v>40</v>
      </c>
      <c r="J54" s="40" t="s">
        <v>48</v>
      </c>
      <c r="K54" s="41" t="s">
        <v>49</v>
      </c>
      <c r="L54" s="40" t="s">
        <v>50</v>
      </c>
      <c r="M54" s="40" t="s">
        <v>51</v>
      </c>
      <c r="N54" s="42" t="s">
        <v>52</v>
      </c>
      <c r="O54" s="238"/>
      <c r="P54" s="309"/>
    </row>
    <row r="55" spans="1:16" ht="13.5" thickBot="1" x14ac:dyDescent="0.25">
      <c r="A55" s="43" t="s">
        <v>41</v>
      </c>
      <c r="B55" s="45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  <c r="O55" s="238"/>
      <c r="P55" s="309"/>
    </row>
    <row r="56" spans="1:16" ht="7.5" customHeight="1" x14ac:dyDescent="0.2">
      <c r="A56" s="46"/>
      <c r="B56" s="4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8"/>
      <c r="O56" s="238"/>
      <c r="P56" s="309"/>
    </row>
    <row r="57" spans="1:16" x14ac:dyDescent="0.2">
      <c r="A57" s="49" t="s">
        <v>329</v>
      </c>
      <c r="B57" s="326">
        <f>'14.sz.melléklet'!C46</f>
        <v>14389</v>
      </c>
      <c r="C57" s="327">
        <f>$B57/12</f>
        <v>1199.0833333333333</v>
      </c>
      <c r="D57" s="327">
        <f t="shared" ref="D57:N57" si="17">$B57/12</f>
        <v>1199.0833333333333</v>
      </c>
      <c r="E57" s="327">
        <f t="shared" si="17"/>
        <v>1199.0833333333333</v>
      </c>
      <c r="F57" s="327">
        <f t="shared" si="17"/>
        <v>1199.0833333333333</v>
      </c>
      <c r="G57" s="327">
        <f t="shared" si="17"/>
        <v>1199.0833333333333</v>
      </c>
      <c r="H57" s="327">
        <f t="shared" si="17"/>
        <v>1199.0833333333333</v>
      </c>
      <c r="I57" s="327">
        <f t="shared" si="17"/>
        <v>1199.0833333333333</v>
      </c>
      <c r="J57" s="327">
        <f t="shared" si="17"/>
        <v>1199.0833333333333</v>
      </c>
      <c r="K57" s="327">
        <f t="shared" si="17"/>
        <v>1199.0833333333333</v>
      </c>
      <c r="L57" s="327">
        <f t="shared" si="17"/>
        <v>1199.0833333333333</v>
      </c>
      <c r="M57" s="327">
        <f t="shared" si="17"/>
        <v>1199.0833333333333</v>
      </c>
      <c r="N57" s="328">
        <f t="shared" si="17"/>
        <v>1199.0833333333333</v>
      </c>
      <c r="O57" s="238"/>
      <c r="P57" s="309"/>
    </row>
    <row r="58" spans="1:16" x14ac:dyDescent="0.2">
      <c r="A58" s="49" t="s">
        <v>333</v>
      </c>
      <c r="B58" s="329">
        <f>'14.sz.melléklet'!G30</f>
        <v>130945</v>
      </c>
      <c r="C58" s="330">
        <f>($B$58/12)-50</f>
        <v>10862.083333333334</v>
      </c>
      <c r="D58" s="330">
        <f>($B$58/12)-50</f>
        <v>10862.083333333334</v>
      </c>
      <c r="E58" s="330">
        <f t="shared" ref="E58:M58" si="18">($B$58/12)-50</f>
        <v>10862.083333333334</v>
      </c>
      <c r="F58" s="330">
        <f t="shared" si="18"/>
        <v>10862.083333333334</v>
      </c>
      <c r="G58" s="330">
        <f t="shared" si="18"/>
        <v>10862.083333333334</v>
      </c>
      <c r="H58" s="330">
        <f>($B$58/12)+600-50-800</f>
        <v>10662.083333333334</v>
      </c>
      <c r="I58" s="330">
        <f>($B$58/12)-40+800</f>
        <v>11672.083333333334</v>
      </c>
      <c r="J58" s="330">
        <f t="shared" si="18"/>
        <v>10862.083333333334</v>
      </c>
      <c r="K58" s="330">
        <f t="shared" si="18"/>
        <v>10862.083333333334</v>
      </c>
      <c r="L58" s="330">
        <f t="shared" si="18"/>
        <v>10862.083333333334</v>
      </c>
      <c r="M58" s="330">
        <f t="shared" si="18"/>
        <v>10862.083333333334</v>
      </c>
      <c r="N58" s="330">
        <v>9310</v>
      </c>
      <c r="O58" s="238"/>
      <c r="P58" s="309"/>
    </row>
    <row r="59" spans="1:16" ht="13.5" thickBot="1" x14ac:dyDescent="0.25">
      <c r="A59" s="50"/>
      <c r="B59" s="332"/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2"/>
      <c r="O59" s="238"/>
      <c r="P59" s="309"/>
    </row>
    <row r="60" spans="1:16" ht="13.5" thickBot="1" x14ac:dyDescent="0.25">
      <c r="A60" s="51" t="s">
        <v>20</v>
      </c>
      <c r="B60" s="334">
        <f t="shared" ref="B60:N60" si="19">SUM(B57:B59)</f>
        <v>145334</v>
      </c>
      <c r="C60" s="335">
        <f>SUM(C57:C59)</f>
        <v>12061.166666666668</v>
      </c>
      <c r="D60" s="335">
        <f t="shared" si="19"/>
        <v>12061.166666666668</v>
      </c>
      <c r="E60" s="335">
        <f t="shared" si="19"/>
        <v>12061.166666666668</v>
      </c>
      <c r="F60" s="335">
        <f t="shared" si="19"/>
        <v>12061.166666666668</v>
      </c>
      <c r="G60" s="335">
        <f t="shared" si="19"/>
        <v>12061.166666666668</v>
      </c>
      <c r="H60" s="335">
        <f t="shared" si="19"/>
        <v>11861.166666666668</v>
      </c>
      <c r="I60" s="335">
        <f t="shared" si="19"/>
        <v>12871.166666666668</v>
      </c>
      <c r="J60" s="335">
        <f t="shared" si="19"/>
        <v>12061.166666666668</v>
      </c>
      <c r="K60" s="335">
        <f t="shared" si="19"/>
        <v>12061.166666666668</v>
      </c>
      <c r="L60" s="335">
        <f t="shared" si="19"/>
        <v>12061.166666666668</v>
      </c>
      <c r="M60" s="335">
        <f t="shared" si="19"/>
        <v>12061.166666666668</v>
      </c>
      <c r="N60" s="334">
        <f t="shared" si="19"/>
        <v>10509.083333333334</v>
      </c>
      <c r="O60" s="238"/>
      <c r="P60" s="309"/>
    </row>
    <row r="61" spans="1:16" x14ac:dyDescent="0.2">
      <c r="A61" s="52"/>
      <c r="B61" s="336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6"/>
      <c r="O61" s="238"/>
      <c r="P61" s="309"/>
    </row>
    <row r="62" spans="1:16" x14ac:dyDescent="0.2">
      <c r="A62" s="53" t="s">
        <v>42</v>
      </c>
      <c r="B62" s="328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8"/>
      <c r="O62" s="238"/>
      <c r="P62" s="309"/>
    </row>
    <row r="63" spans="1:16" ht="6" customHeight="1" x14ac:dyDescent="0.2">
      <c r="A63" s="54"/>
      <c r="B63" s="328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8"/>
      <c r="O63" s="238"/>
      <c r="P63" s="309"/>
    </row>
    <row r="64" spans="1:16" x14ac:dyDescent="0.2">
      <c r="A64" s="49" t="s">
        <v>43</v>
      </c>
      <c r="B64" s="326">
        <f>B60-B65</f>
        <v>143257</v>
      </c>
      <c r="C64" s="327">
        <f>($B$64/12)</f>
        <v>11938.083333333334</v>
      </c>
      <c r="D64" s="327">
        <v>10396</v>
      </c>
      <c r="E64" s="327">
        <f t="shared" ref="E64:N64" si="20">($B$64/12)</f>
        <v>11938.083333333334</v>
      </c>
      <c r="F64" s="327">
        <f t="shared" si="20"/>
        <v>11938.083333333334</v>
      </c>
      <c r="G64" s="327">
        <f t="shared" si="20"/>
        <v>11938.083333333334</v>
      </c>
      <c r="H64" s="327">
        <f t="shared" si="20"/>
        <v>11938.083333333334</v>
      </c>
      <c r="I64" s="327">
        <f t="shared" si="20"/>
        <v>11938.083333333334</v>
      </c>
      <c r="J64" s="327">
        <f t="shared" si="20"/>
        <v>11938.083333333334</v>
      </c>
      <c r="K64" s="327">
        <f t="shared" si="20"/>
        <v>11938.083333333334</v>
      </c>
      <c r="L64" s="327">
        <f t="shared" si="20"/>
        <v>11938.083333333334</v>
      </c>
      <c r="M64" s="327">
        <f t="shared" si="20"/>
        <v>11938.083333333334</v>
      </c>
      <c r="N64" s="327">
        <f t="shared" si="20"/>
        <v>11938.083333333334</v>
      </c>
      <c r="O64" s="238"/>
      <c r="P64" s="309"/>
    </row>
    <row r="65" spans="1:16" ht="13.5" thickBot="1" x14ac:dyDescent="0.25">
      <c r="A65" s="478" t="s">
        <v>350</v>
      </c>
      <c r="B65" s="479">
        <f>'14.sz.melléklet'!F23</f>
        <v>2077</v>
      </c>
      <c r="C65" s="343"/>
      <c r="D65" s="343"/>
      <c r="E65" s="343">
        <v>120</v>
      </c>
      <c r="F65" s="343">
        <v>120</v>
      </c>
      <c r="G65" s="343">
        <v>120</v>
      </c>
      <c r="H65" s="343">
        <v>120</v>
      </c>
      <c r="I65" s="343">
        <f>120+870</f>
        <v>990</v>
      </c>
      <c r="J65" s="343">
        <v>120</v>
      </c>
      <c r="K65" s="343">
        <v>120</v>
      </c>
      <c r="L65" s="343">
        <v>120</v>
      </c>
      <c r="M65" s="343">
        <f>120+7</f>
        <v>127</v>
      </c>
      <c r="N65" s="343">
        <v>120</v>
      </c>
      <c r="O65" s="238"/>
      <c r="P65" s="309"/>
    </row>
    <row r="66" spans="1:16" ht="13.5" thickBot="1" x14ac:dyDescent="0.25">
      <c r="A66" s="55" t="s">
        <v>46</v>
      </c>
      <c r="B66" s="340">
        <f>SUM(B64:B65)</f>
        <v>145334</v>
      </c>
      <c r="C66" s="341">
        <f>SUM(C64:C65)</f>
        <v>11938.083333333334</v>
      </c>
      <c r="D66" s="341">
        <f t="shared" ref="D66:N66" si="21">SUM(D64:D65)</f>
        <v>10396</v>
      </c>
      <c r="E66" s="341">
        <f t="shared" si="21"/>
        <v>12058.083333333334</v>
      </c>
      <c r="F66" s="341">
        <f t="shared" si="21"/>
        <v>12058.083333333334</v>
      </c>
      <c r="G66" s="341">
        <f t="shared" si="21"/>
        <v>12058.083333333334</v>
      </c>
      <c r="H66" s="341">
        <f t="shared" si="21"/>
        <v>12058.083333333334</v>
      </c>
      <c r="I66" s="341">
        <f t="shared" si="21"/>
        <v>12928.083333333334</v>
      </c>
      <c r="J66" s="341">
        <f t="shared" si="21"/>
        <v>12058.083333333334</v>
      </c>
      <c r="K66" s="341">
        <f t="shared" si="21"/>
        <v>12058.083333333334</v>
      </c>
      <c r="L66" s="341">
        <f t="shared" si="21"/>
        <v>12058.083333333334</v>
      </c>
      <c r="M66" s="341">
        <f t="shared" si="21"/>
        <v>12065.083333333334</v>
      </c>
      <c r="N66" s="341">
        <f t="shared" si="21"/>
        <v>12058.083333333334</v>
      </c>
      <c r="O66" s="238"/>
      <c r="P66" s="309"/>
    </row>
    <row r="67" spans="1:16" ht="13.5" thickBot="1" x14ac:dyDescent="0.25">
      <c r="A67" s="56"/>
      <c r="B67" s="342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2"/>
      <c r="O67" s="238"/>
      <c r="P67" s="309"/>
    </row>
    <row r="68" spans="1:16" ht="13.5" thickBot="1" x14ac:dyDescent="0.25">
      <c r="A68" s="55" t="s">
        <v>47</v>
      </c>
      <c r="B68" s="344">
        <f>B66-B60</f>
        <v>0</v>
      </c>
      <c r="C68" s="345">
        <f t="shared" ref="C68:N68" si="22">C60-C66</f>
        <v>123.08333333333394</v>
      </c>
      <c r="D68" s="345">
        <f t="shared" si="22"/>
        <v>1665.1666666666679</v>
      </c>
      <c r="E68" s="345">
        <f t="shared" si="22"/>
        <v>3.0833333333339397</v>
      </c>
      <c r="F68" s="345">
        <f t="shared" si="22"/>
        <v>3.0833333333339397</v>
      </c>
      <c r="G68" s="345">
        <f t="shared" si="22"/>
        <v>3.0833333333339397</v>
      </c>
      <c r="H68" s="345">
        <f t="shared" si="22"/>
        <v>-196.91666666666606</v>
      </c>
      <c r="I68" s="345">
        <f t="shared" si="22"/>
        <v>-56.91666666666606</v>
      </c>
      <c r="J68" s="345">
        <f t="shared" si="22"/>
        <v>3.0833333333339397</v>
      </c>
      <c r="K68" s="345">
        <f t="shared" si="22"/>
        <v>3.0833333333339397</v>
      </c>
      <c r="L68" s="345">
        <f t="shared" si="22"/>
        <v>3.0833333333339397</v>
      </c>
      <c r="M68" s="345">
        <f t="shared" si="22"/>
        <v>-3.9166666666660603</v>
      </c>
      <c r="N68" s="344">
        <f t="shared" si="22"/>
        <v>-1549</v>
      </c>
      <c r="O68" s="238"/>
      <c r="P68" s="309"/>
    </row>
    <row r="69" spans="1:16" x14ac:dyDescent="0.2">
      <c r="A69" s="169" t="s">
        <v>75</v>
      </c>
      <c r="B69" s="282"/>
      <c r="C69" s="282">
        <f>C60-C66</f>
        <v>123.08333333333394</v>
      </c>
      <c r="D69" s="282">
        <f t="shared" ref="D69:N69" si="23">C69+D60-D66</f>
        <v>1788.2500000000018</v>
      </c>
      <c r="E69" s="282">
        <f t="shared" si="23"/>
        <v>1791.3333333333358</v>
      </c>
      <c r="F69" s="282">
        <f t="shared" si="23"/>
        <v>1794.4166666666697</v>
      </c>
      <c r="G69" s="282">
        <f t="shared" si="23"/>
        <v>1797.5000000000036</v>
      </c>
      <c r="H69" s="282">
        <f t="shared" si="23"/>
        <v>1600.5833333333376</v>
      </c>
      <c r="I69" s="282">
        <f t="shared" si="23"/>
        <v>1543.6666666666715</v>
      </c>
      <c r="J69" s="282">
        <f t="shared" si="23"/>
        <v>1546.7500000000055</v>
      </c>
      <c r="K69" s="282">
        <f t="shared" si="23"/>
        <v>1549.8333333333394</v>
      </c>
      <c r="L69" s="282">
        <f t="shared" si="23"/>
        <v>1552.9166666666733</v>
      </c>
      <c r="M69" s="282">
        <f t="shared" si="23"/>
        <v>1549.0000000000073</v>
      </c>
      <c r="N69" s="298">
        <f t="shared" si="23"/>
        <v>0</v>
      </c>
      <c r="O69" s="238"/>
      <c r="P69" s="309"/>
    </row>
    <row r="70" spans="1:16" x14ac:dyDescent="0.2">
      <c r="A70" s="227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9"/>
      <c r="O70" s="238"/>
      <c r="P70" s="309"/>
    </row>
    <row r="71" spans="1:16" ht="13.5" thickBot="1" x14ac:dyDescent="0.25">
      <c r="A71" s="229" t="s">
        <v>214</v>
      </c>
      <c r="B71" s="230"/>
      <c r="C71" s="231"/>
      <c r="D71" s="231"/>
      <c r="E71" s="231"/>
      <c r="F71" s="230"/>
      <c r="G71" s="232"/>
      <c r="H71" s="232"/>
      <c r="I71" s="233"/>
      <c r="J71" s="234"/>
      <c r="K71" s="234" t="s">
        <v>0</v>
      </c>
      <c r="L71" s="235"/>
      <c r="M71" s="234"/>
      <c r="N71" s="236"/>
      <c r="O71" s="238"/>
      <c r="P71" s="309"/>
    </row>
    <row r="72" spans="1:16" x14ac:dyDescent="0.2">
      <c r="A72" s="39" t="s">
        <v>33</v>
      </c>
      <c r="B72" s="42" t="s">
        <v>1</v>
      </c>
      <c r="C72" s="40" t="s">
        <v>34</v>
      </c>
      <c r="D72" s="40" t="s">
        <v>35</v>
      </c>
      <c r="E72" s="40" t="s">
        <v>36</v>
      </c>
      <c r="F72" s="40" t="s">
        <v>37</v>
      </c>
      <c r="G72" s="40" t="s">
        <v>38</v>
      </c>
      <c r="H72" s="40" t="s">
        <v>39</v>
      </c>
      <c r="I72" s="40" t="s">
        <v>40</v>
      </c>
      <c r="J72" s="40" t="s">
        <v>48</v>
      </c>
      <c r="K72" s="41" t="s">
        <v>49</v>
      </c>
      <c r="L72" s="40" t="s">
        <v>50</v>
      </c>
      <c r="M72" s="40" t="s">
        <v>51</v>
      </c>
      <c r="N72" s="42" t="s">
        <v>52</v>
      </c>
      <c r="O72" s="238"/>
      <c r="P72" s="309"/>
    </row>
    <row r="73" spans="1:16" ht="13.5" thickBot="1" x14ac:dyDescent="0.25">
      <c r="A73" s="43" t="s">
        <v>41</v>
      </c>
      <c r="B73" s="45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238"/>
      <c r="P73" s="309"/>
    </row>
    <row r="74" spans="1:16" ht="7.5" customHeight="1" x14ac:dyDescent="0.2">
      <c r="A74" s="46"/>
      <c r="B74" s="4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238"/>
      <c r="P74" s="309"/>
    </row>
    <row r="75" spans="1:16" x14ac:dyDescent="0.2">
      <c r="A75" s="49" t="s">
        <v>329</v>
      </c>
      <c r="B75" s="326">
        <f>'15.sz.melléklet'!C34</f>
        <v>6705</v>
      </c>
      <c r="C75" s="327">
        <f>$B75/12</f>
        <v>558.75</v>
      </c>
      <c r="D75" s="327">
        <f t="shared" ref="D75:N75" si="24">$B75/12</f>
        <v>558.75</v>
      </c>
      <c r="E75" s="327">
        <f t="shared" si="24"/>
        <v>558.75</v>
      </c>
      <c r="F75" s="327">
        <f t="shared" si="24"/>
        <v>558.75</v>
      </c>
      <c r="G75" s="327">
        <f t="shared" si="24"/>
        <v>558.75</v>
      </c>
      <c r="H75" s="327">
        <f t="shared" si="24"/>
        <v>558.75</v>
      </c>
      <c r="I75" s="327">
        <f t="shared" si="24"/>
        <v>558.75</v>
      </c>
      <c r="J75" s="327">
        <f t="shared" si="24"/>
        <v>558.75</v>
      </c>
      <c r="K75" s="327">
        <f t="shared" si="24"/>
        <v>558.75</v>
      </c>
      <c r="L75" s="327">
        <f t="shared" si="24"/>
        <v>558.75</v>
      </c>
      <c r="M75" s="327">
        <f t="shared" si="24"/>
        <v>558.75</v>
      </c>
      <c r="N75" s="328">
        <f t="shared" si="24"/>
        <v>558.75</v>
      </c>
      <c r="O75" s="238"/>
      <c r="P75" s="309"/>
    </row>
    <row r="76" spans="1:16" x14ac:dyDescent="0.2">
      <c r="A76" s="49" t="s">
        <v>333</v>
      </c>
      <c r="B76" s="329">
        <f>'15.sz.melléklet'!D34</f>
        <v>44191</v>
      </c>
      <c r="C76" s="330">
        <f>$B$76/12</f>
        <v>3682.5833333333335</v>
      </c>
      <c r="D76" s="330">
        <f t="shared" ref="D76:M76" si="25">$B$76/12</f>
        <v>3682.5833333333335</v>
      </c>
      <c r="E76" s="330">
        <f t="shared" si="25"/>
        <v>3682.5833333333335</v>
      </c>
      <c r="F76" s="330">
        <f>$B$76/12</f>
        <v>3682.5833333333335</v>
      </c>
      <c r="G76" s="330">
        <f>$B$76/12+1300</f>
        <v>4982.5833333333339</v>
      </c>
      <c r="H76" s="330">
        <f t="shared" si="25"/>
        <v>3682.5833333333335</v>
      </c>
      <c r="I76" s="330">
        <f t="shared" si="25"/>
        <v>3682.5833333333335</v>
      </c>
      <c r="J76" s="330">
        <f>$B$76/12-500</f>
        <v>3182.5833333333335</v>
      </c>
      <c r="K76" s="330">
        <f t="shared" si="25"/>
        <v>3682.5833333333335</v>
      </c>
      <c r="L76" s="330">
        <f>$B$76/12-400</f>
        <v>3282.5833333333335</v>
      </c>
      <c r="M76" s="330">
        <f t="shared" si="25"/>
        <v>3682.5833333333335</v>
      </c>
      <c r="N76" s="331">
        <f>$B$76/12-400</f>
        <v>3282.5833333333335</v>
      </c>
      <c r="O76" s="238"/>
      <c r="P76" s="309"/>
    </row>
    <row r="77" spans="1:16" ht="13.5" thickBot="1" x14ac:dyDescent="0.25">
      <c r="A77" s="50"/>
      <c r="B77" s="332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2"/>
      <c r="O77" s="238"/>
      <c r="P77" s="309"/>
    </row>
    <row r="78" spans="1:16" ht="13.5" thickBot="1" x14ac:dyDescent="0.25">
      <c r="A78" s="51" t="s">
        <v>20</v>
      </c>
      <c r="B78" s="334">
        <f t="shared" ref="B78:N78" si="26">SUM(B75:B77)</f>
        <v>50896</v>
      </c>
      <c r="C78" s="335">
        <f t="shared" si="26"/>
        <v>4241.3333333333339</v>
      </c>
      <c r="D78" s="335">
        <f t="shared" si="26"/>
        <v>4241.3333333333339</v>
      </c>
      <c r="E78" s="335">
        <f t="shared" si="26"/>
        <v>4241.3333333333339</v>
      </c>
      <c r="F78" s="335">
        <f t="shared" si="26"/>
        <v>4241.3333333333339</v>
      </c>
      <c r="G78" s="335">
        <f t="shared" si="26"/>
        <v>5541.3333333333339</v>
      </c>
      <c r="H78" s="335">
        <f t="shared" si="26"/>
        <v>4241.3333333333339</v>
      </c>
      <c r="I78" s="335">
        <f t="shared" si="26"/>
        <v>4241.3333333333339</v>
      </c>
      <c r="J78" s="335">
        <f t="shared" si="26"/>
        <v>3741.3333333333335</v>
      </c>
      <c r="K78" s="335">
        <f t="shared" si="26"/>
        <v>4241.3333333333339</v>
      </c>
      <c r="L78" s="335">
        <f t="shared" si="26"/>
        <v>3841.3333333333335</v>
      </c>
      <c r="M78" s="335">
        <f t="shared" si="26"/>
        <v>4241.3333333333339</v>
      </c>
      <c r="N78" s="334">
        <f t="shared" si="26"/>
        <v>3841.3333333333335</v>
      </c>
      <c r="O78" s="238"/>
      <c r="P78" s="309"/>
    </row>
    <row r="79" spans="1:16" x14ac:dyDescent="0.2">
      <c r="A79" s="52"/>
      <c r="B79" s="336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6"/>
      <c r="O79" s="238"/>
      <c r="P79" s="309"/>
    </row>
    <row r="80" spans="1:16" x14ac:dyDescent="0.2">
      <c r="A80" s="53" t="s">
        <v>42</v>
      </c>
      <c r="B80" s="328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8"/>
      <c r="O80" s="238"/>
      <c r="P80" s="309"/>
    </row>
    <row r="81" spans="1:16" ht="6" customHeight="1" x14ac:dyDescent="0.2">
      <c r="A81" s="53"/>
      <c r="B81" s="328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8"/>
      <c r="O81" s="238"/>
      <c r="P81" s="309"/>
    </row>
    <row r="82" spans="1:16" x14ac:dyDescent="0.2">
      <c r="A82" s="49" t="s">
        <v>350</v>
      </c>
      <c r="B82" s="326">
        <f>SUM('1.sz. melléklet'!K23)</f>
        <v>5038</v>
      </c>
      <c r="C82" s="327">
        <v>42</v>
      </c>
      <c r="D82" s="327">
        <v>42</v>
      </c>
      <c r="E82" s="327">
        <f>42+168</f>
        <v>210</v>
      </c>
      <c r="F82" s="327">
        <f>42+168</f>
        <v>210</v>
      </c>
      <c r="G82" s="327">
        <f>42+2500+168</f>
        <v>2710</v>
      </c>
      <c r="H82" s="327">
        <f>42+168</f>
        <v>210</v>
      </c>
      <c r="I82" s="327">
        <f t="shared" ref="I82:M82" si="27">42+168</f>
        <v>210</v>
      </c>
      <c r="J82" s="327">
        <f t="shared" si="27"/>
        <v>210</v>
      </c>
      <c r="K82" s="327">
        <f t="shared" si="27"/>
        <v>210</v>
      </c>
      <c r="L82" s="327">
        <f t="shared" si="27"/>
        <v>210</v>
      </c>
      <c r="M82" s="327">
        <f t="shared" si="27"/>
        <v>210</v>
      </c>
      <c r="N82" s="327">
        <v>564</v>
      </c>
      <c r="O82" s="238"/>
      <c r="P82" s="309"/>
    </row>
    <row r="83" spans="1:16" ht="13.5" thickBot="1" x14ac:dyDescent="0.25">
      <c r="A83" s="49" t="s">
        <v>43</v>
      </c>
      <c r="B83" s="326">
        <f>SUM(B78-B82)</f>
        <v>45858</v>
      </c>
      <c r="C83" s="327">
        <f>$B$83/12</f>
        <v>3821.5</v>
      </c>
      <c r="D83" s="327">
        <f t="shared" ref="D83:N83" si="28">$B$83/12</f>
        <v>3821.5</v>
      </c>
      <c r="E83" s="327">
        <f t="shared" si="28"/>
        <v>3821.5</v>
      </c>
      <c r="F83" s="327">
        <f t="shared" si="28"/>
        <v>3821.5</v>
      </c>
      <c r="G83" s="327">
        <f t="shared" si="28"/>
        <v>3821.5</v>
      </c>
      <c r="H83" s="327">
        <f t="shared" si="28"/>
        <v>3821.5</v>
      </c>
      <c r="I83" s="327">
        <f t="shared" si="28"/>
        <v>3821.5</v>
      </c>
      <c r="J83" s="327">
        <f t="shared" si="28"/>
        <v>3821.5</v>
      </c>
      <c r="K83" s="327">
        <f t="shared" si="28"/>
        <v>3821.5</v>
      </c>
      <c r="L83" s="327">
        <f t="shared" si="28"/>
        <v>3821.5</v>
      </c>
      <c r="M83" s="327">
        <f t="shared" si="28"/>
        <v>3821.5</v>
      </c>
      <c r="N83" s="328">
        <f t="shared" si="28"/>
        <v>3821.5</v>
      </c>
      <c r="O83" s="238"/>
      <c r="P83" s="309"/>
    </row>
    <row r="84" spans="1:16" ht="13.5" thickBot="1" x14ac:dyDescent="0.25">
      <c r="A84" s="55" t="s">
        <v>46</v>
      </c>
      <c r="B84" s="340">
        <f>SUM(B82:B83)</f>
        <v>50896</v>
      </c>
      <c r="C84" s="341">
        <f>SUM(C82:C83)</f>
        <v>3863.5</v>
      </c>
      <c r="D84" s="341">
        <f t="shared" ref="D84:N84" si="29">SUM(D82:D83)</f>
        <v>3863.5</v>
      </c>
      <c r="E84" s="341">
        <f t="shared" si="29"/>
        <v>4031.5</v>
      </c>
      <c r="F84" s="341">
        <f t="shared" si="29"/>
        <v>4031.5</v>
      </c>
      <c r="G84" s="341">
        <f t="shared" si="29"/>
        <v>6531.5</v>
      </c>
      <c r="H84" s="341">
        <f t="shared" si="29"/>
        <v>4031.5</v>
      </c>
      <c r="I84" s="341">
        <f t="shared" si="29"/>
        <v>4031.5</v>
      </c>
      <c r="J84" s="341">
        <f t="shared" si="29"/>
        <v>4031.5</v>
      </c>
      <c r="K84" s="341">
        <f t="shared" si="29"/>
        <v>4031.5</v>
      </c>
      <c r="L84" s="341">
        <f t="shared" si="29"/>
        <v>4031.5</v>
      </c>
      <c r="M84" s="341">
        <f t="shared" si="29"/>
        <v>4031.5</v>
      </c>
      <c r="N84" s="341">
        <f t="shared" si="29"/>
        <v>4385.5</v>
      </c>
      <c r="O84" s="238"/>
      <c r="P84" s="309"/>
    </row>
    <row r="85" spans="1:16" ht="13.5" thickBot="1" x14ac:dyDescent="0.25">
      <c r="A85" s="56"/>
      <c r="B85" s="342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2"/>
      <c r="O85" s="238"/>
      <c r="P85" s="309"/>
    </row>
    <row r="86" spans="1:16" ht="13.5" thickBot="1" x14ac:dyDescent="0.25">
      <c r="A86" s="55" t="s">
        <v>47</v>
      </c>
      <c r="B86" s="344">
        <f>B84-B78</f>
        <v>0</v>
      </c>
      <c r="C86" s="345">
        <f t="shared" ref="C86:N86" si="30">C78-C84</f>
        <v>377.83333333333394</v>
      </c>
      <c r="D86" s="345">
        <f t="shared" si="30"/>
        <v>377.83333333333394</v>
      </c>
      <c r="E86" s="345">
        <f t="shared" si="30"/>
        <v>209.83333333333394</v>
      </c>
      <c r="F86" s="345">
        <f t="shared" si="30"/>
        <v>209.83333333333394</v>
      </c>
      <c r="G86" s="345">
        <f t="shared" si="30"/>
        <v>-990.16666666666606</v>
      </c>
      <c r="H86" s="345">
        <f t="shared" si="30"/>
        <v>209.83333333333394</v>
      </c>
      <c r="I86" s="345">
        <f t="shared" si="30"/>
        <v>209.83333333333394</v>
      </c>
      <c r="J86" s="345">
        <f t="shared" si="30"/>
        <v>-290.16666666666652</v>
      </c>
      <c r="K86" s="345">
        <f t="shared" si="30"/>
        <v>209.83333333333394</v>
      </c>
      <c r="L86" s="345">
        <f t="shared" si="30"/>
        <v>-190.16666666666652</v>
      </c>
      <c r="M86" s="345">
        <f t="shared" si="30"/>
        <v>209.83333333333394</v>
      </c>
      <c r="N86" s="344">
        <f t="shared" si="30"/>
        <v>-544.16666666666652</v>
      </c>
      <c r="O86" s="238"/>
      <c r="P86" s="309"/>
    </row>
    <row r="87" spans="1:16" x14ac:dyDescent="0.2">
      <c r="A87" s="169" t="s">
        <v>75</v>
      </c>
      <c r="B87" s="282"/>
      <c r="C87" s="282">
        <f>C78-C84</f>
        <v>377.83333333333394</v>
      </c>
      <c r="D87" s="282">
        <f t="shared" ref="D87:N87" si="31">C87+D78-D84</f>
        <v>755.66666666666788</v>
      </c>
      <c r="E87" s="282">
        <f t="shared" si="31"/>
        <v>965.50000000000182</v>
      </c>
      <c r="F87" s="282">
        <f t="shared" si="31"/>
        <v>1175.3333333333358</v>
      </c>
      <c r="G87" s="282">
        <f t="shared" si="31"/>
        <v>185.1666666666697</v>
      </c>
      <c r="H87" s="282">
        <f t="shared" si="31"/>
        <v>395.00000000000364</v>
      </c>
      <c r="I87" s="282">
        <f t="shared" si="31"/>
        <v>604.83333333333758</v>
      </c>
      <c r="J87" s="282">
        <f t="shared" si="31"/>
        <v>314.66666666667152</v>
      </c>
      <c r="K87" s="282">
        <f t="shared" si="31"/>
        <v>524.50000000000546</v>
      </c>
      <c r="L87" s="282">
        <f t="shared" si="31"/>
        <v>334.3333333333394</v>
      </c>
      <c r="M87" s="282">
        <f t="shared" si="31"/>
        <v>544.16666666667334</v>
      </c>
      <c r="N87" s="298">
        <f t="shared" si="31"/>
        <v>7.2759576141834259E-12</v>
      </c>
      <c r="O87" s="238"/>
      <c r="P87" s="309"/>
    </row>
    <row r="88" spans="1:16" ht="6" customHeight="1" x14ac:dyDescent="0.2">
      <c r="A88" s="169"/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98"/>
      <c r="O88" s="238"/>
      <c r="P88" s="309"/>
    </row>
    <row r="89" spans="1:16" ht="13.5" thickBot="1" x14ac:dyDescent="0.25">
      <c r="A89" s="229" t="s">
        <v>141</v>
      </c>
      <c r="B89" s="230"/>
      <c r="C89" s="231"/>
      <c r="D89" s="231"/>
      <c r="E89" s="231"/>
      <c r="F89" s="230"/>
      <c r="G89" s="232"/>
      <c r="H89" s="232"/>
      <c r="I89" s="233"/>
      <c r="J89" s="234"/>
      <c r="K89" s="234" t="s">
        <v>0</v>
      </c>
      <c r="L89" s="235"/>
      <c r="M89" s="234"/>
      <c r="N89" s="236"/>
      <c r="O89" s="238"/>
      <c r="P89" s="309"/>
    </row>
    <row r="90" spans="1:16" x14ac:dyDescent="0.2">
      <c r="A90" s="39" t="s">
        <v>33</v>
      </c>
      <c r="B90" s="42" t="s">
        <v>1</v>
      </c>
      <c r="C90" s="40" t="s">
        <v>34</v>
      </c>
      <c r="D90" s="40" t="s">
        <v>35</v>
      </c>
      <c r="E90" s="40" t="s">
        <v>36</v>
      </c>
      <c r="F90" s="40" t="s">
        <v>37</v>
      </c>
      <c r="G90" s="40" t="s">
        <v>38</v>
      </c>
      <c r="H90" s="40" t="s">
        <v>39</v>
      </c>
      <c r="I90" s="40" t="s">
        <v>40</v>
      </c>
      <c r="J90" s="40" t="s">
        <v>48</v>
      </c>
      <c r="K90" s="41" t="s">
        <v>49</v>
      </c>
      <c r="L90" s="40" t="s">
        <v>50</v>
      </c>
      <c r="M90" s="40" t="s">
        <v>51</v>
      </c>
      <c r="N90" s="42" t="s">
        <v>52</v>
      </c>
      <c r="O90" s="238"/>
      <c r="P90" s="309"/>
    </row>
    <row r="91" spans="1:16" ht="13.5" thickBot="1" x14ac:dyDescent="0.25">
      <c r="A91" s="43" t="s">
        <v>41</v>
      </c>
      <c r="B91" s="45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238"/>
      <c r="P91" s="309"/>
    </row>
    <row r="92" spans="1:16" x14ac:dyDescent="0.2">
      <c r="A92" s="46"/>
      <c r="B92" s="4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8"/>
      <c r="O92" s="238"/>
      <c r="P92" s="309"/>
    </row>
    <row r="93" spans="1:16" x14ac:dyDescent="0.2">
      <c r="A93" s="49" t="s">
        <v>329</v>
      </c>
      <c r="B93" s="326">
        <f>'16.sz. melléklet'!C42</f>
        <v>300</v>
      </c>
      <c r="C93" s="327">
        <f>$B93/12</f>
        <v>25</v>
      </c>
      <c r="D93" s="327">
        <f t="shared" ref="D93:N93" si="32">$B93/12</f>
        <v>25</v>
      </c>
      <c r="E93" s="327">
        <f t="shared" si="32"/>
        <v>25</v>
      </c>
      <c r="F93" s="327">
        <f t="shared" si="32"/>
        <v>25</v>
      </c>
      <c r="G93" s="327">
        <f t="shared" si="32"/>
        <v>25</v>
      </c>
      <c r="H93" s="327">
        <f t="shared" si="32"/>
        <v>25</v>
      </c>
      <c r="I93" s="327">
        <f t="shared" si="32"/>
        <v>25</v>
      </c>
      <c r="J93" s="327">
        <f t="shared" si="32"/>
        <v>25</v>
      </c>
      <c r="K93" s="327">
        <f t="shared" si="32"/>
        <v>25</v>
      </c>
      <c r="L93" s="327">
        <f t="shared" si="32"/>
        <v>25</v>
      </c>
      <c r="M93" s="327">
        <f t="shared" si="32"/>
        <v>25</v>
      </c>
      <c r="N93" s="328">
        <f t="shared" si="32"/>
        <v>25</v>
      </c>
      <c r="O93" s="238"/>
      <c r="P93" s="309"/>
    </row>
    <row r="94" spans="1:16" x14ac:dyDescent="0.2">
      <c r="A94" s="49" t="s">
        <v>333</v>
      </c>
      <c r="B94" s="329">
        <f>'16.sz. melléklet'!D42</f>
        <v>92984</v>
      </c>
      <c r="C94" s="330">
        <f>$B94/12-146</f>
        <v>7602.666666666667</v>
      </c>
      <c r="D94" s="330">
        <f>$B94/12-242</f>
        <v>7506.666666666667</v>
      </c>
      <c r="E94" s="330">
        <f>$B94/12-242</f>
        <v>7506.666666666667</v>
      </c>
      <c r="F94" s="330">
        <f>$B94/12+259</f>
        <v>8007.666666666667</v>
      </c>
      <c r="G94" s="330">
        <f>$B94/12+758</f>
        <v>8506.6666666666679</v>
      </c>
      <c r="H94" s="330">
        <f>$B94/12-242</f>
        <v>7506.666666666667</v>
      </c>
      <c r="I94" s="330">
        <v>8515</v>
      </c>
      <c r="J94" s="330">
        <f>$B94/12-241</f>
        <v>7507.666666666667</v>
      </c>
      <c r="K94" s="330">
        <f>$B94/12-200</f>
        <v>7548.666666666667</v>
      </c>
      <c r="L94" s="330">
        <f>$B94/12-242</f>
        <v>7506.666666666667</v>
      </c>
      <c r="M94" s="330">
        <f>$B94/12-720+242+200</f>
        <v>7470.666666666667</v>
      </c>
      <c r="N94" s="330">
        <f>$B94/12-242</f>
        <v>7506.666666666667</v>
      </c>
      <c r="O94" s="238"/>
      <c r="P94" s="309"/>
    </row>
    <row r="95" spans="1:16" ht="13.5" thickBot="1" x14ac:dyDescent="0.25">
      <c r="A95" s="50"/>
      <c r="B95" s="332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2"/>
      <c r="O95" s="238"/>
      <c r="P95" s="309"/>
    </row>
    <row r="96" spans="1:16" ht="13.5" thickBot="1" x14ac:dyDescent="0.25">
      <c r="A96" s="51" t="s">
        <v>20</v>
      </c>
      <c r="B96" s="334">
        <f t="shared" ref="B96:N96" si="33">SUM(B93:B95)</f>
        <v>93284</v>
      </c>
      <c r="C96" s="335">
        <f t="shared" si="33"/>
        <v>7627.666666666667</v>
      </c>
      <c r="D96" s="335">
        <f t="shared" si="33"/>
        <v>7531.666666666667</v>
      </c>
      <c r="E96" s="335">
        <f t="shared" si="33"/>
        <v>7531.666666666667</v>
      </c>
      <c r="F96" s="335">
        <f t="shared" si="33"/>
        <v>8032.666666666667</v>
      </c>
      <c r="G96" s="335">
        <f t="shared" si="33"/>
        <v>8531.6666666666679</v>
      </c>
      <c r="H96" s="335">
        <f t="shared" si="33"/>
        <v>7531.666666666667</v>
      </c>
      <c r="I96" s="335">
        <f t="shared" si="33"/>
        <v>8540</v>
      </c>
      <c r="J96" s="335">
        <f t="shared" si="33"/>
        <v>7532.666666666667</v>
      </c>
      <c r="K96" s="335">
        <f t="shared" si="33"/>
        <v>7573.666666666667</v>
      </c>
      <c r="L96" s="335">
        <f t="shared" si="33"/>
        <v>7531.666666666667</v>
      </c>
      <c r="M96" s="335">
        <f t="shared" si="33"/>
        <v>7495.666666666667</v>
      </c>
      <c r="N96" s="334">
        <f t="shared" si="33"/>
        <v>7531.666666666667</v>
      </c>
      <c r="O96" s="238"/>
      <c r="P96" s="309"/>
    </row>
    <row r="97" spans="1:16" ht="6.75" customHeight="1" x14ac:dyDescent="0.2">
      <c r="A97" s="52"/>
      <c r="B97" s="336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6"/>
      <c r="O97" s="238"/>
      <c r="P97" s="309"/>
    </row>
    <row r="98" spans="1:16" x14ac:dyDescent="0.2">
      <c r="A98" s="53" t="s">
        <v>42</v>
      </c>
      <c r="B98" s="328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8"/>
      <c r="O98" s="238"/>
      <c r="P98" s="309"/>
    </row>
    <row r="99" spans="1:16" ht="2.25" customHeight="1" x14ac:dyDescent="0.2">
      <c r="A99" s="53"/>
      <c r="B99" s="328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8"/>
      <c r="O99" s="238"/>
      <c r="P99" s="309"/>
    </row>
    <row r="100" spans="1:16" ht="13.5" customHeight="1" x14ac:dyDescent="0.2">
      <c r="A100" s="49" t="s">
        <v>350</v>
      </c>
      <c r="B100" s="326">
        <f>SUM('1.sz. melléklet'!N23)</f>
        <v>3937</v>
      </c>
      <c r="C100" s="327">
        <f>1037/12</f>
        <v>86.416666666666671</v>
      </c>
      <c r="D100" s="327">
        <f t="shared" ref="D100:N100" si="34">1037/12</f>
        <v>86.416666666666671</v>
      </c>
      <c r="E100" s="327">
        <f t="shared" si="34"/>
        <v>86.416666666666671</v>
      </c>
      <c r="F100" s="327">
        <f>1037/12+500</f>
        <v>586.41666666666663</v>
      </c>
      <c r="G100" s="327">
        <f>1037/12+1100</f>
        <v>1186.4166666666667</v>
      </c>
      <c r="H100" s="327">
        <f t="shared" si="34"/>
        <v>86.416666666666671</v>
      </c>
      <c r="I100" s="327">
        <f>1037/12+1300</f>
        <v>1386.4166666666667</v>
      </c>
      <c r="J100" s="327">
        <f t="shared" si="34"/>
        <v>86.416666666666671</v>
      </c>
      <c r="K100" s="327">
        <f>1037/12+5</f>
        <v>91.416666666666671</v>
      </c>
      <c r="L100" s="327">
        <f t="shared" si="34"/>
        <v>86.416666666666671</v>
      </c>
      <c r="M100" s="327">
        <f t="shared" si="34"/>
        <v>86.416666666666671</v>
      </c>
      <c r="N100" s="327">
        <f t="shared" si="34"/>
        <v>86.416666666666671</v>
      </c>
      <c r="O100" s="238"/>
      <c r="P100" s="309"/>
    </row>
    <row r="101" spans="1:16" ht="13.5" thickBot="1" x14ac:dyDescent="0.25">
      <c r="A101" s="49" t="s">
        <v>43</v>
      </c>
      <c r="B101" s="326">
        <f>SUM(B96-B100)</f>
        <v>89347</v>
      </c>
      <c r="C101" s="327">
        <v>7149</v>
      </c>
      <c r="D101" s="327">
        <f t="shared" ref="D101:N101" si="35">$B$101/12</f>
        <v>7445.583333333333</v>
      </c>
      <c r="E101" s="327">
        <f t="shared" si="35"/>
        <v>7445.583333333333</v>
      </c>
      <c r="F101" s="327">
        <f t="shared" si="35"/>
        <v>7445.583333333333</v>
      </c>
      <c r="G101" s="327">
        <f t="shared" si="35"/>
        <v>7445.583333333333</v>
      </c>
      <c r="H101" s="327">
        <f t="shared" si="35"/>
        <v>7445.583333333333</v>
      </c>
      <c r="I101" s="327">
        <f t="shared" si="35"/>
        <v>7445.583333333333</v>
      </c>
      <c r="J101" s="327">
        <f t="shared" si="35"/>
        <v>7445.583333333333</v>
      </c>
      <c r="K101" s="327">
        <f t="shared" si="35"/>
        <v>7445.583333333333</v>
      </c>
      <c r="L101" s="327">
        <f t="shared" si="35"/>
        <v>7445.583333333333</v>
      </c>
      <c r="M101" s="327">
        <f t="shared" si="35"/>
        <v>7445.583333333333</v>
      </c>
      <c r="N101" s="328">
        <f t="shared" si="35"/>
        <v>7445.583333333333</v>
      </c>
      <c r="O101" s="238"/>
      <c r="P101" s="309"/>
    </row>
    <row r="102" spans="1:16" ht="13.5" thickBot="1" x14ac:dyDescent="0.25">
      <c r="A102" s="55" t="s">
        <v>46</v>
      </c>
      <c r="B102" s="340">
        <f>SUM(B100:B101)</f>
        <v>93284</v>
      </c>
      <c r="C102" s="341">
        <f>SUM(C100:C101)</f>
        <v>7235.416666666667</v>
      </c>
      <c r="D102" s="341">
        <f t="shared" ref="D102:N102" si="36">SUM(D100:D101)</f>
        <v>7532</v>
      </c>
      <c r="E102" s="341">
        <f t="shared" si="36"/>
        <v>7532</v>
      </c>
      <c r="F102" s="341">
        <f t="shared" si="36"/>
        <v>8032</v>
      </c>
      <c r="G102" s="341">
        <f t="shared" si="36"/>
        <v>8632</v>
      </c>
      <c r="H102" s="341">
        <f t="shared" si="36"/>
        <v>7532</v>
      </c>
      <c r="I102" s="341">
        <f t="shared" si="36"/>
        <v>8832</v>
      </c>
      <c r="J102" s="341">
        <f t="shared" si="36"/>
        <v>7532</v>
      </c>
      <c r="K102" s="341">
        <f t="shared" si="36"/>
        <v>7537</v>
      </c>
      <c r="L102" s="341">
        <f t="shared" si="36"/>
        <v>7532</v>
      </c>
      <c r="M102" s="341">
        <f t="shared" si="36"/>
        <v>7532</v>
      </c>
      <c r="N102" s="341">
        <f t="shared" si="36"/>
        <v>7532</v>
      </c>
      <c r="O102" s="238"/>
      <c r="P102" s="309"/>
    </row>
    <row r="103" spans="1:16" ht="13.5" thickBot="1" x14ac:dyDescent="0.25">
      <c r="A103" s="56"/>
      <c r="B103" s="342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2"/>
      <c r="O103" s="238"/>
      <c r="P103" s="309"/>
    </row>
    <row r="104" spans="1:16" ht="13.5" thickBot="1" x14ac:dyDescent="0.25">
      <c r="A104" s="55" t="s">
        <v>47</v>
      </c>
      <c r="B104" s="344">
        <f>B102-B96</f>
        <v>0</v>
      </c>
      <c r="C104" s="345">
        <f t="shared" ref="C104:N104" si="37">C96-C102</f>
        <v>392.25</v>
      </c>
      <c r="D104" s="345">
        <f t="shared" si="37"/>
        <v>-0.33333333333303017</v>
      </c>
      <c r="E104" s="345">
        <f t="shared" si="37"/>
        <v>-0.33333333333303017</v>
      </c>
      <c r="F104" s="345">
        <f t="shared" si="37"/>
        <v>0.66666666666696983</v>
      </c>
      <c r="G104" s="345">
        <f t="shared" si="37"/>
        <v>-100.33333333333212</v>
      </c>
      <c r="H104" s="345">
        <f t="shared" si="37"/>
        <v>-0.33333333333303017</v>
      </c>
      <c r="I104" s="345">
        <f t="shared" si="37"/>
        <v>-292</v>
      </c>
      <c r="J104" s="345">
        <f t="shared" si="37"/>
        <v>0.66666666666696983</v>
      </c>
      <c r="K104" s="345">
        <f t="shared" si="37"/>
        <v>36.66666666666697</v>
      </c>
      <c r="L104" s="345">
        <f t="shared" si="37"/>
        <v>-0.33333333333303017</v>
      </c>
      <c r="M104" s="345">
        <f t="shared" si="37"/>
        <v>-36.33333333333303</v>
      </c>
      <c r="N104" s="344">
        <f t="shared" si="37"/>
        <v>-0.33333333333303017</v>
      </c>
      <c r="O104" s="238"/>
      <c r="P104" s="309"/>
    </row>
    <row r="105" spans="1:16" ht="10.5" customHeight="1" x14ac:dyDescent="0.2">
      <c r="A105" s="169"/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98"/>
      <c r="O105" s="238"/>
      <c r="P105" s="309"/>
    </row>
    <row r="106" spans="1:16" ht="13.5" thickBot="1" x14ac:dyDescent="0.25">
      <c r="A106" s="237" t="s">
        <v>75</v>
      </c>
      <c r="B106" s="300"/>
      <c r="C106" s="300">
        <f>C96-C102</f>
        <v>392.25</v>
      </c>
      <c r="D106" s="300">
        <f t="shared" ref="D106:N106" si="38">C106+D96-D102</f>
        <v>391.91666666666697</v>
      </c>
      <c r="E106" s="300">
        <f t="shared" si="38"/>
        <v>391.58333333333394</v>
      </c>
      <c r="F106" s="300">
        <f t="shared" si="38"/>
        <v>392.25</v>
      </c>
      <c r="G106" s="300">
        <f t="shared" si="38"/>
        <v>291.91666666666788</v>
      </c>
      <c r="H106" s="300">
        <f t="shared" si="38"/>
        <v>291.58333333333485</v>
      </c>
      <c r="I106" s="300">
        <f t="shared" si="38"/>
        <v>-0.41666666666424135</v>
      </c>
      <c r="J106" s="300">
        <f t="shared" si="38"/>
        <v>0.25000000000272848</v>
      </c>
      <c r="K106" s="300">
        <f t="shared" si="38"/>
        <v>36.916666666669698</v>
      </c>
      <c r="L106" s="300">
        <f t="shared" si="38"/>
        <v>36.583333333336668</v>
      </c>
      <c r="M106" s="300">
        <f t="shared" si="38"/>
        <v>0.25000000000363798</v>
      </c>
      <c r="N106" s="301">
        <f t="shared" si="38"/>
        <v>-8.333333332939219E-2</v>
      </c>
      <c r="O106" s="238"/>
      <c r="P106" s="309"/>
    </row>
    <row r="107" spans="1:16" x14ac:dyDescent="0.2">
      <c r="B107" s="309"/>
      <c r="C107" s="309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238"/>
      <c r="P107" s="309"/>
    </row>
    <row r="108" spans="1:16" x14ac:dyDescent="0.2"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238"/>
      <c r="P108" s="309"/>
    </row>
    <row r="109" spans="1:16" x14ac:dyDescent="0.2"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238"/>
      <c r="P109" s="309"/>
    </row>
    <row r="110" spans="1:16" x14ac:dyDescent="0.2"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238"/>
      <c r="P110" s="309"/>
    </row>
    <row r="111" spans="1:16" x14ac:dyDescent="0.2"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238"/>
      <c r="P111" s="309"/>
    </row>
    <row r="112" spans="1:16" x14ac:dyDescent="0.2">
      <c r="B112" s="309"/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238"/>
      <c r="P112" s="309"/>
    </row>
    <row r="113" spans="2:16" x14ac:dyDescent="0.2">
      <c r="B113" s="309"/>
      <c r="C113" s="309"/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238"/>
      <c r="P113" s="309"/>
    </row>
    <row r="114" spans="2:16" x14ac:dyDescent="0.2"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238"/>
      <c r="P114" s="309"/>
    </row>
    <row r="115" spans="2:16" x14ac:dyDescent="0.2">
      <c r="B115" s="309"/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238"/>
      <c r="P115" s="309"/>
    </row>
    <row r="116" spans="2:16" x14ac:dyDescent="0.2"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238"/>
      <c r="P116" s="309"/>
    </row>
    <row r="117" spans="2:16" x14ac:dyDescent="0.2">
      <c r="B117" s="309"/>
      <c r="C117" s="309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238"/>
      <c r="P117" s="309"/>
    </row>
    <row r="118" spans="2:16" x14ac:dyDescent="0.2"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238"/>
      <c r="P118" s="309"/>
    </row>
    <row r="119" spans="2:16" x14ac:dyDescent="0.2"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238"/>
      <c r="P119" s="309"/>
    </row>
    <row r="120" spans="2:16" x14ac:dyDescent="0.2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238"/>
      <c r="P120" s="309"/>
    </row>
    <row r="121" spans="2:16" x14ac:dyDescent="0.2"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238"/>
      <c r="P121" s="309"/>
    </row>
    <row r="122" spans="2:16" x14ac:dyDescent="0.2">
      <c r="B122" s="309"/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238"/>
      <c r="P122" s="309"/>
    </row>
    <row r="123" spans="2:16" x14ac:dyDescent="0.2">
      <c r="B123" s="309"/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238"/>
      <c r="P123" s="309"/>
    </row>
    <row r="124" spans="2:16" x14ac:dyDescent="0.2">
      <c r="B124" s="309"/>
      <c r="C124" s="309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238"/>
      <c r="P124" s="309"/>
    </row>
    <row r="125" spans="2:16" x14ac:dyDescent="0.2"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238"/>
    </row>
    <row r="126" spans="2:16" x14ac:dyDescent="0.2"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238"/>
    </row>
    <row r="127" spans="2:16" x14ac:dyDescent="0.2"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238"/>
    </row>
    <row r="128" spans="2:16" x14ac:dyDescent="0.2">
      <c r="B128" s="309"/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238"/>
    </row>
    <row r="129" spans="2:15" x14ac:dyDescent="0.2"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238"/>
    </row>
    <row r="130" spans="2:15" x14ac:dyDescent="0.2">
      <c r="B130" s="309"/>
      <c r="C130" s="309"/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238"/>
    </row>
    <row r="131" spans="2:15" x14ac:dyDescent="0.2">
      <c r="B131" s="309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238"/>
    </row>
    <row r="132" spans="2:15" x14ac:dyDescent="0.2">
      <c r="B132" s="309"/>
      <c r="C132" s="309"/>
      <c r="D132" s="309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238"/>
    </row>
    <row r="133" spans="2:15" x14ac:dyDescent="0.2"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09"/>
      <c r="O133" s="238"/>
    </row>
    <row r="134" spans="2:15" x14ac:dyDescent="0.2">
      <c r="B134" s="309"/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</row>
    <row r="135" spans="2:15" x14ac:dyDescent="0.2">
      <c r="B135" s="309"/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</row>
    <row r="136" spans="2:15" x14ac:dyDescent="0.2">
      <c r="B136" s="309"/>
      <c r="C136" s="309"/>
      <c r="D136" s="309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</row>
    <row r="137" spans="2:15" x14ac:dyDescent="0.2">
      <c r="B137" s="309"/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</row>
    <row r="138" spans="2:15" x14ac:dyDescent="0.2">
      <c r="B138" s="309"/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</row>
    <row r="139" spans="2:15" x14ac:dyDescent="0.2">
      <c r="B139" s="309"/>
      <c r="C139" s="309"/>
      <c r="D139" s="309"/>
      <c r="E139" s="309"/>
      <c r="F139" s="309"/>
      <c r="G139" s="309"/>
      <c r="H139" s="309"/>
      <c r="I139" s="309"/>
      <c r="J139" s="309"/>
      <c r="K139" s="309"/>
      <c r="L139" s="309"/>
      <c r="M139" s="309"/>
      <c r="N139" s="309"/>
    </row>
    <row r="140" spans="2:15" x14ac:dyDescent="0.2">
      <c r="B140" s="309"/>
      <c r="C140" s="309"/>
      <c r="D140" s="309"/>
      <c r="E140" s="309"/>
      <c r="F140" s="309"/>
      <c r="G140" s="309"/>
      <c r="H140" s="309"/>
      <c r="I140" s="309"/>
      <c r="J140" s="309"/>
      <c r="K140" s="309"/>
      <c r="L140" s="309"/>
      <c r="M140" s="309"/>
      <c r="N140" s="309"/>
    </row>
    <row r="141" spans="2:15" x14ac:dyDescent="0.2">
      <c r="B141" s="309"/>
      <c r="C141" s="309"/>
      <c r="D141" s="309"/>
      <c r="E141" s="309"/>
      <c r="F141" s="309"/>
      <c r="G141" s="309"/>
      <c r="H141" s="309"/>
      <c r="I141" s="309"/>
      <c r="J141" s="309"/>
      <c r="K141" s="309"/>
      <c r="L141" s="309"/>
      <c r="M141" s="309"/>
      <c r="N141" s="309"/>
    </row>
    <row r="142" spans="2:15" x14ac:dyDescent="0.2">
      <c r="B142" s="309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</row>
    <row r="143" spans="2:15" x14ac:dyDescent="0.2"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09"/>
    </row>
    <row r="144" spans="2:15" x14ac:dyDescent="0.2">
      <c r="B144" s="309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</row>
    <row r="145" spans="2:14" x14ac:dyDescent="0.2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</row>
    <row r="146" spans="2:14" x14ac:dyDescent="0.2">
      <c r="B146" s="309"/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</row>
    <row r="147" spans="2:14" x14ac:dyDescent="0.2"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</row>
    <row r="148" spans="2:14" x14ac:dyDescent="0.2">
      <c r="B148" s="309"/>
      <c r="C148" s="309"/>
      <c r="D148" s="309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</row>
    <row r="149" spans="2:14" x14ac:dyDescent="0.2">
      <c r="B149" s="309"/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</row>
    <row r="150" spans="2:14" x14ac:dyDescent="0.2"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</row>
    <row r="151" spans="2:14" x14ac:dyDescent="0.2"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</row>
    <row r="152" spans="2:14" x14ac:dyDescent="0.2"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</row>
    <row r="153" spans="2:14" x14ac:dyDescent="0.2"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09"/>
    </row>
    <row r="154" spans="2:14" x14ac:dyDescent="0.2">
      <c r="B154" s="309"/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</row>
    <row r="155" spans="2:14" x14ac:dyDescent="0.2">
      <c r="B155" s="309"/>
      <c r="C155" s="309"/>
      <c r="D155" s="309"/>
      <c r="E155" s="309"/>
      <c r="F155" s="309"/>
      <c r="G155" s="309"/>
      <c r="H155" s="309"/>
      <c r="I155" s="309"/>
      <c r="J155" s="309"/>
      <c r="K155" s="309"/>
      <c r="L155" s="309"/>
      <c r="M155" s="309"/>
      <c r="N155" s="309"/>
    </row>
    <row r="156" spans="2:14" x14ac:dyDescent="0.2"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</row>
    <row r="157" spans="2:14" x14ac:dyDescent="0.2">
      <c r="B157" s="309"/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</row>
    <row r="158" spans="2:14" x14ac:dyDescent="0.2">
      <c r="B158" s="309"/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</row>
    <row r="159" spans="2:14" x14ac:dyDescent="0.2">
      <c r="B159" s="309"/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</row>
    <row r="160" spans="2:14" x14ac:dyDescent="0.2">
      <c r="B160" s="309"/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</row>
    <row r="161" spans="2:14" x14ac:dyDescent="0.2">
      <c r="B161" s="309"/>
      <c r="C161" s="309"/>
      <c r="D161" s="309"/>
      <c r="E161" s="309"/>
      <c r="F161" s="309"/>
      <c r="G161" s="309"/>
      <c r="H161" s="309"/>
      <c r="I161" s="309"/>
      <c r="J161" s="309"/>
      <c r="K161" s="309"/>
      <c r="L161" s="309"/>
      <c r="M161" s="309"/>
      <c r="N161" s="309"/>
    </row>
    <row r="162" spans="2:14" x14ac:dyDescent="0.2">
      <c r="B162" s="309"/>
      <c r="C162" s="309"/>
      <c r="D162" s="309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</row>
    <row r="163" spans="2:14" x14ac:dyDescent="0.2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</row>
    <row r="164" spans="2:14" x14ac:dyDescent="0.2">
      <c r="B164" s="309"/>
      <c r="C164" s="309"/>
      <c r="D164" s="309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</row>
    <row r="165" spans="2:14" x14ac:dyDescent="0.2">
      <c r="B165" s="309"/>
      <c r="C165" s="309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</row>
    <row r="166" spans="2:14" x14ac:dyDescent="0.2">
      <c r="B166" s="309"/>
      <c r="C166" s="309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</row>
    <row r="167" spans="2:14" x14ac:dyDescent="0.2">
      <c r="B167" s="309"/>
      <c r="C167" s="309"/>
      <c r="D167" s="309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</row>
    <row r="168" spans="2:14" x14ac:dyDescent="0.2"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</row>
    <row r="169" spans="2:14" x14ac:dyDescent="0.2">
      <c r="B169" s="309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</row>
    <row r="170" spans="2:14" x14ac:dyDescent="0.2">
      <c r="B170" s="309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</row>
    <row r="171" spans="2:14" x14ac:dyDescent="0.2">
      <c r="B171" s="309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</row>
    <row r="172" spans="2:14" x14ac:dyDescent="0.2"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</row>
    <row r="173" spans="2:14" x14ac:dyDescent="0.2"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</row>
    <row r="174" spans="2:14" x14ac:dyDescent="0.2">
      <c r="B174" s="309"/>
      <c r="C174" s="309"/>
      <c r="D174" s="309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</row>
    <row r="175" spans="2:14" x14ac:dyDescent="0.2">
      <c r="B175" s="309"/>
      <c r="C175" s="309"/>
      <c r="D175" s="309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</row>
    <row r="176" spans="2:14" x14ac:dyDescent="0.2">
      <c r="B176" s="309"/>
      <c r="C176" s="309"/>
      <c r="D176" s="309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</row>
    <row r="177" spans="2:14" x14ac:dyDescent="0.2">
      <c r="B177" s="309"/>
      <c r="C177" s="309"/>
      <c r="D177" s="309"/>
      <c r="E177" s="309"/>
      <c r="F177" s="309"/>
      <c r="G177" s="309"/>
      <c r="H177" s="309"/>
      <c r="I177" s="309"/>
      <c r="J177" s="309"/>
      <c r="K177" s="309"/>
      <c r="L177" s="309"/>
      <c r="M177" s="309"/>
      <c r="N177" s="309"/>
    </row>
    <row r="178" spans="2:14" x14ac:dyDescent="0.2">
      <c r="B178" s="309"/>
      <c r="C178" s="309"/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</row>
    <row r="179" spans="2:14" x14ac:dyDescent="0.2"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</row>
    <row r="180" spans="2:14" x14ac:dyDescent="0.2">
      <c r="B180" s="309"/>
      <c r="C180" s="309"/>
      <c r="D180" s="309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</row>
    <row r="181" spans="2:14" x14ac:dyDescent="0.2">
      <c r="B181" s="309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</row>
    <row r="182" spans="2:14" x14ac:dyDescent="0.2"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</row>
    <row r="183" spans="2:14" x14ac:dyDescent="0.2">
      <c r="B183" s="309"/>
      <c r="C183" s="309"/>
      <c r="D183" s="309"/>
      <c r="E183" s="309"/>
      <c r="F183" s="309"/>
      <c r="G183" s="309"/>
      <c r="H183" s="309"/>
      <c r="I183" s="309"/>
      <c r="J183" s="309"/>
      <c r="K183" s="309"/>
      <c r="L183" s="309"/>
      <c r="M183" s="309"/>
      <c r="N183" s="309"/>
    </row>
    <row r="184" spans="2:14" x14ac:dyDescent="0.2">
      <c r="B184" s="309"/>
      <c r="C184" s="309"/>
      <c r="D184" s="309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</row>
    <row r="185" spans="2:14" x14ac:dyDescent="0.2">
      <c r="B185" s="309"/>
      <c r="C185" s="309"/>
      <c r="D185" s="309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</row>
    <row r="186" spans="2:14" x14ac:dyDescent="0.2">
      <c r="B186" s="309"/>
      <c r="C186" s="309"/>
      <c r="D186" s="309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</row>
    <row r="187" spans="2:14" x14ac:dyDescent="0.2">
      <c r="B187" s="309"/>
      <c r="C187" s="309"/>
      <c r="D187" s="309"/>
      <c r="E187" s="309"/>
      <c r="F187" s="309"/>
      <c r="G187" s="309"/>
      <c r="H187" s="309"/>
      <c r="I187" s="309"/>
      <c r="J187" s="309"/>
      <c r="K187" s="309"/>
      <c r="L187" s="309"/>
      <c r="M187" s="309"/>
      <c r="N187" s="309"/>
    </row>
    <row r="188" spans="2:14" x14ac:dyDescent="0.2">
      <c r="B188" s="309"/>
      <c r="C188" s="309"/>
      <c r="D188" s="309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</row>
    <row r="189" spans="2:14" x14ac:dyDescent="0.2"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</row>
    <row r="190" spans="2:14" x14ac:dyDescent="0.2">
      <c r="B190" s="309"/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</row>
    <row r="191" spans="2:14" x14ac:dyDescent="0.2">
      <c r="B191" s="309"/>
      <c r="C191" s="309"/>
      <c r="D191" s="309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</row>
    <row r="192" spans="2:14" x14ac:dyDescent="0.2">
      <c r="B192" s="309"/>
      <c r="C192" s="309"/>
      <c r="D192" s="309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</row>
    <row r="193" spans="2:14" x14ac:dyDescent="0.2">
      <c r="B193" s="309"/>
      <c r="C193" s="309"/>
      <c r="D193" s="309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</row>
    <row r="194" spans="2:14" x14ac:dyDescent="0.2">
      <c r="B194" s="309"/>
      <c r="C194" s="309"/>
      <c r="D194" s="309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</row>
    <row r="195" spans="2:14" x14ac:dyDescent="0.2">
      <c r="B195" s="309"/>
      <c r="C195" s="309"/>
      <c r="D195" s="309"/>
      <c r="E195" s="309"/>
      <c r="F195" s="309"/>
      <c r="G195" s="309"/>
      <c r="H195" s="309"/>
      <c r="I195" s="309"/>
      <c r="J195" s="309"/>
      <c r="K195" s="309"/>
      <c r="L195" s="309"/>
      <c r="M195" s="309"/>
      <c r="N195" s="309"/>
    </row>
    <row r="196" spans="2:14" x14ac:dyDescent="0.2">
      <c r="B196" s="309"/>
      <c r="C196" s="309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</row>
    <row r="197" spans="2:14" x14ac:dyDescent="0.2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</row>
    <row r="198" spans="2:14" x14ac:dyDescent="0.2"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</row>
    <row r="199" spans="2:14" x14ac:dyDescent="0.2">
      <c r="B199" s="309"/>
      <c r="C199" s="309"/>
      <c r="D199" s="309"/>
      <c r="E199" s="309"/>
      <c r="F199" s="309"/>
      <c r="G199" s="309"/>
      <c r="H199" s="309"/>
      <c r="I199" s="309"/>
      <c r="J199" s="309"/>
      <c r="K199" s="309"/>
      <c r="L199" s="309"/>
      <c r="M199" s="309"/>
      <c r="N199" s="309"/>
    </row>
    <row r="200" spans="2:14" x14ac:dyDescent="0.2">
      <c r="B200" s="309"/>
      <c r="C200" s="309"/>
      <c r="D200" s="309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</row>
    <row r="201" spans="2:14" x14ac:dyDescent="0.2">
      <c r="B201" s="309"/>
      <c r="C201" s="309"/>
      <c r="D201" s="309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</row>
    <row r="202" spans="2:14" x14ac:dyDescent="0.2">
      <c r="B202" s="309"/>
      <c r="C202" s="309"/>
      <c r="D202" s="309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</row>
    <row r="203" spans="2:14" x14ac:dyDescent="0.2">
      <c r="B203" s="309"/>
      <c r="C203" s="309"/>
      <c r="D203" s="309"/>
      <c r="E203" s="309"/>
      <c r="F203" s="309"/>
      <c r="G203" s="309"/>
      <c r="H203" s="309"/>
      <c r="I203" s="309"/>
      <c r="J203" s="309"/>
      <c r="K203" s="309"/>
      <c r="L203" s="309"/>
      <c r="M203" s="309"/>
      <c r="N203" s="309"/>
    </row>
    <row r="204" spans="2:14" x14ac:dyDescent="0.2">
      <c r="B204" s="309"/>
      <c r="C204" s="309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</row>
    <row r="205" spans="2:14" x14ac:dyDescent="0.2">
      <c r="B205" s="309"/>
      <c r="C205" s="309"/>
      <c r="D205" s="309"/>
      <c r="E205" s="309"/>
      <c r="F205" s="309"/>
      <c r="G205" s="309"/>
      <c r="H205" s="309"/>
      <c r="I205" s="309"/>
      <c r="J205" s="309"/>
      <c r="K205" s="309"/>
      <c r="L205" s="309"/>
      <c r="M205" s="309"/>
      <c r="N205" s="309"/>
    </row>
    <row r="206" spans="2:14" x14ac:dyDescent="0.2">
      <c r="B206" s="309"/>
      <c r="C206" s="309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</row>
    <row r="207" spans="2:14" x14ac:dyDescent="0.2">
      <c r="B207" s="309"/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</row>
    <row r="208" spans="2:14" x14ac:dyDescent="0.2">
      <c r="B208" s="309"/>
      <c r="C208" s="309"/>
      <c r="D208" s="309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</row>
    <row r="209" spans="2:14" x14ac:dyDescent="0.2">
      <c r="B209" s="309"/>
      <c r="C209" s="309"/>
      <c r="D209" s="309"/>
      <c r="E209" s="309"/>
      <c r="F209" s="309"/>
      <c r="G209" s="309"/>
      <c r="H209" s="309"/>
      <c r="I209" s="309"/>
      <c r="J209" s="309"/>
      <c r="K209" s="309"/>
      <c r="L209" s="309"/>
      <c r="M209" s="309"/>
      <c r="N209" s="309"/>
    </row>
    <row r="210" spans="2:14" x14ac:dyDescent="0.2">
      <c r="B210" s="309"/>
      <c r="C210" s="309"/>
      <c r="D210" s="309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</row>
    <row r="211" spans="2:14" x14ac:dyDescent="0.2">
      <c r="B211" s="309"/>
      <c r="C211" s="309"/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</row>
    <row r="212" spans="2:14" x14ac:dyDescent="0.2">
      <c r="B212" s="309"/>
      <c r="C212" s="309"/>
      <c r="D212" s="309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2"/>
  <sheetViews>
    <sheetView topLeftCell="A369" workbookViewId="0">
      <selection sqref="A1:N383"/>
    </sheetView>
  </sheetViews>
  <sheetFormatPr defaultRowHeight="12.75" x14ac:dyDescent="0.2"/>
  <cols>
    <col min="1" max="1" width="7.140625" customWidth="1"/>
    <col min="2" max="2" width="25.28515625" customWidth="1"/>
    <col min="3" max="3" width="9.85546875" style="158" customWidth="1"/>
    <col min="4" max="5" width="9.7109375" style="158" customWidth="1"/>
    <col min="6" max="6" width="10.28515625" style="158" customWidth="1"/>
    <col min="7" max="7" width="12.5703125" style="158" customWidth="1"/>
    <col min="8" max="8" width="10.140625" style="158" customWidth="1"/>
    <col min="9" max="9" width="10.85546875" style="158" customWidth="1"/>
    <col min="10" max="10" width="9.5703125" style="158" customWidth="1"/>
    <col min="11" max="11" width="11" style="158" customWidth="1"/>
    <col min="12" max="12" width="10.85546875" style="158" customWidth="1"/>
    <col min="13" max="13" width="11" style="1512" customWidth="1"/>
    <col min="14" max="14" width="11.85546875" style="161" bestFit="1" customWidth="1"/>
    <col min="15" max="15" width="10.7109375" style="194" bestFit="1" customWidth="1"/>
    <col min="16" max="16" width="11.28515625" style="194" customWidth="1"/>
    <col min="17" max="17" width="9.140625" style="194"/>
    <col min="18" max="18" width="10" style="194" customWidth="1"/>
    <col min="19" max="20" width="9.140625" style="194"/>
    <col min="21" max="40" width="9.140625" style="4"/>
  </cols>
  <sheetData>
    <row r="1" spans="1:41" ht="29.25" customHeight="1" thickBot="1" x14ac:dyDescent="0.3">
      <c r="A1" s="1901" t="s">
        <v>515</v>
      </c>
      <c r="B1" s="1902"/>
      <c r="C1" s="1902"/>
      <c r="D1" s="1902"/>
      <c r="E1" s="1902"/>
      <c r="F1" s="1902"/>
      <c r="G1" s="1902"/>
      <c r="H1" s="1902"/>
      <c r="I1" s="1902"/>
      <c r="J1" s="1902"/>
      <c r="K1" s="1902"/>
      <c r="L1" s="1903"/>
      <c r="M1" s="1493"/>
      <c r="N1" s="511"/>
      <c r="O1" s="511"/>
      <c r="P1" s="367"/>
    </row>
    <row r="2" spans="1:41" ht="3.75" customHeight="1" thickBot="1" x14ac:dyDescent="0.3">
      <c r="A2" s="536"/>
      <c r="B2" s="110"/>
      <c r="C2" s="1321"/>
      <c r="D2" s="1322"/>
      <c r="E2" s="1322"/>
      <c r="F2" s="1322"/>
      <c r="G2" s="1322"/>
      <c r="H2" s="1322"/>
      <c r="I2" s="1322"/>
      <c r="J2" s="1322"/>
      <c r="K2" s="1323"/>
      <c r="L2" s="1580"/>
      <c r="M2" s="1323"/>
      <c r="N2" s="512"/>
      <c r="O2" s="511"/>
      <c r="P2" s="367"/>
    </row>
    <row r="3" spans="1:41" ht="39" customHeight="1" x14ac:dyDescent="0.2">
      <c r="A3" s="1324" t="s">
        <v>229</v>
      </c>
      <c r="B3" s="1325" t="s">
        <v>230</v>
      </c>
      <c r="C3" s="1326" t="s">
        <v>231</v>
      </c>
      <c r="D3" s="1326" t="s">
        <v>232</v>
      </c>
      <c r="E3" s="1326" t="s">
        <v>135</v>
      </c>
      <c r="F3" s="1326" t="s">
        <v>234</v>
      </c>
      <c r="G3" s="1326" t="s">
        <v>235</v>
      </c>
      <c r="H3" s="1326" t="s">
        <v>136</v>
      </c>
      <c r="I3" s="1326" t="s">
        <v>233</v>
      </c>
      <c r="J3" s="1326" t="s">
        <v>432</v>
      </c>
      <c r="K3" s="1562" t="s">
        <v>137</v>
      </c>
      <c r="L3" s="1454" t="s">
        <v>54</v>
      </c>
      <c r="M3" s="536"/>
      <c r="N3" s="110"/>
      <c r="O3" s="110"/>
      <c r="P3" s="4"/>
      <c r="Q3" s="4"/>
      <c r="R3" s="4"/>
      <c r="S3" s="4"/>
      <c r="T3" s="4"/>
      <c r="AO3" s="4"/>
    </row>
    <row r="4" spans="1:41" ht="12" customHeight="1" x14ac:dyDescent="0.2">
      <c r="A4" s="1914" t="s">
        <v>184</v>
      </c>
      <c r="B4" s="1915"/>
      <c r="C4" s="513"/>
      <c r="D4" s="513"/>
      <c r="E4" s="513"/>
      <c r="F4" s="513"/>
      <c r="G4" s="513"/>
      <c r="H4" s="513"/>
      <c r="I4" s="513"/>
      <c r="J4" s="513"/>
      <c r="K4" s="1563"/>
      <c r="L4" s="1455"/>
      <c r="M4" s="536"/>
      <c r="N4" s="110"/>
      <c r="O4" s="110"/>
      <c r="P4" s="4"/>
      <c r="Q4" s="4"/>
      <c r="R4" s="4"/>
      <c r="S4" s="4"/>
      <c r="T4" s="4"/>
      <c r="AO4" s="4"/>
    </row>
    <row r="5" spans="1:41" ht="22.5" customHeight="1" x14ac:dyDescent="0.2">
      <c r="A5" s="514" t="s">
        <v>245</v>
      </c>
      <c r="B5" s="378" t="s">
        <v>116</v>
      </c>
      <c r="C5" s="381"/>
      <c r="D5" s="381"/>
      <c r="E5" s="381"/>
      <c r="F5" s="381"/>
      <c r="G5" s="381"/>
      <c r="H5" s="381"/>
      <c r="I5" s="381"/>
      <c r="J5" s="381"/>
      <c r="K5" s="1564"/>
      <c r="L5" s="1456"/>
      <c r="M5" s="536"/>
      <c r="N5" s="110"/>
      <c r="O5" s="110"/>
      <c r="P5" s="4"/>
      <c r="Q5" s="4"/>
      <c r="R5" s="4"/>
      <c r="S5" s="4"/>
      <c r="T5" s="4"/>
      <c r="AO5" s="4"/>
    </row>
    <row r="6" spans="1:41" s="369" customFormat="1" ht="15" customHeight="1" thickBot="1" x14ac:dyDescent="0.25">
      <c r="A6" s="1452"/>
      <c r="B6" s="558" t="s">
        <v>392</v>
      </c>
      <c r="C6" s="559"/>
      <c r="D6" s="559">
        <f>SUM('5.a.sz. melléklet'!D7)</f>
        <v>543532</v>
      </c>
      <c r="E6" s="559"/>
      <c r="F6" s="559"/>
      <c r="G6" s="559"/>
      <c r="H6" s="559"/>
      <c r="I6" s="559"/>
      <c r="J6" s="559"/>
      <c r="K6" s="1565"/>
      <c r="L6" s="1457">
        <f>SUM(D6:K6)</f>
        <v>543532</v>
      </c>
      <c r="M6" s="536"/>
      <c r="N6" s="110"/>
      <c r="O6" s="11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0.2" customHeight="1" thickBot="1" x14ac:dyDescent="0.25">
      <c r="A7" s="1451"/>
      <c r="B7" s="533" t="s">
        <v>393</v>
      </c>
      <c r="C7" s="515"/>
      <c r="D7" s="515"/>
      <c r="E7" s="515"/>
      <c r="F7" s="515"/>
      <c r="G7" s="515"/>
      <c r="H7" s="515"/>
      <c r="I7" s="515"/>
      <c r="J7" s="515"/>
      <c r="K7" s="1566"/>
      <c r="L7" s="1458">
        <f>SUM(D7:K7)</f>
        <v>0</v>
      </c>
      <c r="M7" s="536"/>
      <c r="N7" s="110"/>
      <c r="O7" s="110"/>
      <c r="P7" s="4"/>
      <c r="Q7" s="4"/>
      <c r="R7" s="4"/>
      <c r="S7" s="4"/>
      <c r="T7" s="4"/>
      <c r="AO7" s="4"/>
    </row>
    <row r="8" spans="1:41" ht="0.2" customHeight="1" thickBot="1" x14ac:dyDescent="0.25">
      <c r="A8" s="514"/>
      <c r="B8" s="378" t="s">
        <v>391</v>
      </c>
      <c r="C8" s="381"/>
      <c r="D8" s="381"/>
      <c r="E8" s="381"/>
      <c r="F8" s="381"/>
      <c r="G8" s="381"/>
      <c r="H8" s="381"/>
      <c r="I8" s="381"/>
      <c r="J8" s="381"/>
      <c r="K8" s="1564"/>
      <c r="L8" s="1458">
        <f>SUM(D8:K8)</f>
        <v>0</v>
      </c>
      <c r="M8" s="536"/>
      <c r="N8" s="110"/>
      <c r="O8" s="110"/>
      <c r="P8" s="4"/>
      <c r="Q8" s="4"/>
      <c r="R8" s="4"/>
      <c r="S8" s="4"/>
      <c r="T8" s="4"/>
      <c r="AO8" s="4"/>
    </row>
    <row r="9" spans="1:41" ht="15" customHeight="1" x14ac:dyDescent="0.2">
      <c r="A9" s="514" t="s">
        <v>244</v>
      </c>
      <c r="B9" s="378" t="s">
        <v>421</v>
      </c>
      <c r="C9" s="381"/>
      <c r="D9" s="381"/>
      <c r="E9" s="381"/>
      <c r="F9" s="381"/>
      <c r="G9" s="381"/>
      <c r="H9" s="381"/>
      <c r="I9" s="381"/>
      <c r="J9" s="381"/>
      <c r="K9" s="1564"/>
      <c r="L9" s="1459"/>
      <c r="M9" s="536"/>
      <c r="N9" s="110"/>
      <c r="O9" s="110"/>
      <c r="P9" s="4"/>
      <c r="Q9" s="4"/>
      <c r="R9" s="4"/>
      <c r="S9" s="4"/>
      <c r="T9" s="4"/>
      <c r="AO9" s="4"/>
    </row>
    <row r="10" spans="1:41" s="369" customFormat="1" ht="15" customHeight="1" thickBot="1" x14ac:dyDescent="0.25">
      <c r="A10" s="1452"/>
      <c r="B10" s="558" t="s">
        <v>392</v>
      </c>
      <c r="C10" s="559">
        <f>SUM('5.a.sz. melléklet'!C11)</f>
        <v>5605</v>
      </c>
      <c r="D10" s="559"/>
      <c r="E10" s="559"/>
      <c r="F10" s="559"/>
      <c r="G10" s="559"/>
      <c r="H10" s="559"/>
      <c r="I10" s="559"/>
      <c r="J10" s="559"/>
      <c r="K10" s="1565"/>
      <c r="L10" s="1461">
        <f>SUM(C10:K10)</f>
        <v>5605</v>
      </c>
      <c r="M10" s="536"/>
      <c r="N10" s="110"/>
      <c r="O10" s="11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0.2" customHeight="1" x14ac:dyDescent="0.2">
      <c r="A11" s="1451"/>
      <c r="B11" s="533" t="s">
        <v>393</v>
      </c>
      <c r="C11" s="515"/>
      <c r="D11" s="515"/>
      <c r="E11" s="515"/>
      <c r="F11" s="515"/>
      <c r="G11" s="515"/>
      <c r="H11" s="515"/>
      <c r="I11" s="515"/>
      <c r="J11" s="515"/>
      <c r="K11" s="1566"/>
      <c r="L11" s="1456">
        <f>SUM(C11:K11)</f>
        <v>0</v>
      </c>
      <c r="M11" s="536"/>
      <c r="N11" s="110"/>
      <c r="O11" s="110"/>
      <c r="P11" s="4"/>
      <c r="Q11" s="4"/>
      <c r="R11" s="4"/>
      <c r="S11" s="4"/>
      <c r="T11" s="4"/>
      <c r="AO11" s="4"/>
    </row>
    <row r="12" spans="1:41" ht="0.2" customHeight="1" x14ac:dyDescent="0.2">
      <c r="A12" s="514"/>
      <c r="B12" s="378" t="s">
        <v>391</v>
      </c>
      <c r="C12" s="381"/>
      <c r="D12" s="381"/>
      <c r="E12" s="381"/>
      <c r="F12" s="381"/>
      <c r="G12" s="381"/>
      <c r="H12" s="381"/>
      <c r="I12" s="381"/>
      <c r="J12" s="381"/>
      <c r="K12" s="1564"/>
      <c r="L12" s="1460">
        <f>SUM(C12:K12)</f>
        <v>0</v>
      </c>
      <c r="M12" s="536"/>
      <c r="N12" s="110"/>
      <c r="O12" s="110"/>
      <c r="P12" s="4"/>
      <c r="Q12" s="4"/>
      <c r="R12" s="4"/>
      <c r="S12" s="4"/>
      <c r="T12" s="4"/>
      <c r="AO12" s="4"/>
    </row>
    <row r="13" spans="1:41" ht="21" customHeight="1" x14ac:dyDescent="0.2">
      <c r="A13" s="514" t="s">
        <v>256</v>
      </c>
      <c r="B13" s="378" t="s">
        <v>304</v>
      </c>
      <c r="C13" s="381"/>
      <c r="D13" s="381"/>
      <c r="E13" s="381"/>
      <c r="F13" s="381"/>
      <c r="G13" s="381"/>
      <c r="H13" s="381"/>
      <c r="I13" s="381"/>
      <c r="J13" s="381"/>
      <c r="K13" s="1564"/>
      <c r="L13" s="1456"/>
      <c r="M13" s="536"/>
      <c r="N13" s="110"/>
      <c r="O13" s="110"/>
      <c r="P13" s="4"/>
      <c r="Q13" s="4"/>
      <c r="R13" s="4"/>
      <c r="S13" s="4"/>
      <c r="T13" s="4"/>
      <c r="AO13" s="4"/>
    </row>
    <row r="14" spans="1:41" s="369" customFormat="1" ht="16.5" customHeight="1" thickBot="1" x14ac:dyDescent="0.25">
      <c r="A14" s="1452"/>
      <c r="B14" s="558" t="s">
        <v>392</v>
      </c>
      <c r="C14" s="559">
        <f>SUM('5.a.sz. melléklet'!C15)</f>
        <v>17277</v>
      </c>
      <c r="D14" s="559"/>
      <c r="E14" s="559">
        <f>SUM('5.a.sz. melléklet'!E15)</f>
        <v>484</v>
      </c>
      <c r="F14" s="559">
        <f>SUM('5.a.sz. melléklet'!F15)</f>
        <v>1100</v>
      </c>
      <c r="G14" s="559">
        <f>SUM('5.a.sz. melléklet'!G15)</f>
        <v>240017</v>
      </c>
      <c r="H14" s="559"/>
      <c r="I14" s="559">
        <f>SUM('5.a.sz. melléklet'!I15)</f>
        <v>30430</v>
      </c>
      <c r="J14" s="559"/>
      <c r="K14" s="1565">
        <f>SUM('5.a.sz. melléklet'!K15)</f>
        <v>100000</v>
      </c>
      <c r="L14" s="1457">
        <f>SUM(C14:K14)</f>
        <v>389308</v>
      </c>
      <c r="M14" s="536"/>
      <c r="N14" s="110"/>
      <c r="O14" s="1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0.2" customHeight="1" x14ac:dyDescent="0.2">
      <c r="A15" s="1451"/>
      <c r="B15" s="533" t="s">
        <v>393</v>
      </c>
      <c r="C15" s="515"/>
      <c r="D15" s="515"/>
      <c r="E15" s="515"/>
      <c r="F15" s="515"/>
      <c r="G15" s="515"/>
      <c r="H15" s="515"/>
      <c r="I15" s="515"/>
      <c r="J15" s="515"/>
      <c r="K15" s="1566"/>
      <c r="L15" s="1456">
        <f>SUM(C15:K15)</f>
        <v>0</v>
      </c>
      <c r="M15" s="536"/>
      <c r="N15" s="110"/>
      <c r="O15" s="110"/>
      <c r="P15" s="4"/>
      <c r="Q15" s="4"/>
      <c r="R15" s="4"/>
      <c r="S15" s="4"/>
      <c r="T15" s="4"/>
      <c r="AO15" s="4"/>
    </row>
    <row r="16" spans="1:41" ht="0.2" customHeight="1" x14ac:dyDescent="0.2">
      <c r="A16" s="514"/>
      <c r="B16" s="378" t="s">
        <v>391</v>
      </c>
      <c r="C16" s="381"/>
      <c r="D16" s="381"/>
      <c r="E16" s="381"/>
      <c r="F16" s="381"/>
      <c r="G16" s="381"/>
      <c r="H16" s="381"/>
      <c r="I16" s="381"/>
      <c r="J16" s="381"/>
      <c r="K16" s="1564"/>
      <c r="L16" s="1456">
        <f>SUM(C16:K16)</f>
        <v>0</v>
      </c>
      <c r="M16" s="536"/>
      <c r="N16" s="110"/>
      <c r="O16" s="110"/>
      <c r="P16" s="4"/>
      <c r="Q16" s="4"/>
      <c r="R16" s="4"/>
      <c r="S16" s="4"/>
      <c r="T16" s="4"/>
      <c r="AO16" s="4"/>
    </row>
    <row r="17" spans="1:41" ht="14.25" customHeight="1" x14ac:dyDescent="0.2">
      <c r="A17" s="514" t="s">
        <v>500</v>
      </c>
      <c r="B17" s="378" t="s">
        <v>510</v>
      </c>
      <c r="C17" s="381"/>
      <c r="D17" s="381"/>
      <c r="E17" s="381"/>
      <c r="F17" s="381"/>
      <c r="G17" s="381"/>
      <c r="H17" s="381"/>
      <c r="I17" s="381"/>
      <c r="J17" s="381"/>
      <c r="K17" s="1564"/>
      <c r="L17" s="1456"/>
      <c r="M17" s="536"/>
      <c r="N17" s="110"/>
      <c r="O17" s="110"/>
      <c r="P17" s="4"/>
      <c r="Q17" s="4"/>
      <c r="R17" s="4"/>
      <c r="S17" s="4"/>
      <c r="T17" s="4"/>
      <c r="AO17" s="4"/>
    </row>
    <row r="18" spans="1:41" s="369" customFormat="1" ht="14.25" customHeight="1" thickBot="1" x14ac:dyDescent="0.25">
      <c r="A18" s="1452"/>
      <c r="B18" s="558" t="s">
        <v>392</v>
      </c>
      <c r="C18" s="559"/>
      <c r="D18" s="559"/>
      <c r="E18" s="559"/>
      <c r="F18" s="559"/>
      <c r="G18" s="559"/>
      <c r="H18" s="559"/>
      <c r="I18" s="559"/>
      <c r="J18" s="559"/>
      <c r="K18" s="1565"/>
      <c r="L18" s="1457"/>
      <c r="M18" s="536"/>
      <c r="N18" s="110"/>
      <c r="O18" s="11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0.2" customHeight="1" x14ac:dyDescent="0.2">
      <c r="A19" s="1451"/>
      <c r="B19" s="533" t="s">
        <v>393</v>
      </c>
      <c r="C19" s="515"/>
      <c r="D19" s="515"/>
      <c r="E19" s="515"/>
      <c r="F19" s="515"/>
      <c r="G19" s="515"/>
      <c r="H19" s="515"/>
      <c r="I19" s="515"/>
      <c r="J19" s="515"/>
      <c r="K19" s="1566"/>
      <c r="L19" s="1456"/>
      <c r="M19" s="536"/>
      <c r="N19" s="110"/>
      <c r="O19" s="110"/>
      <c r="P19" s="4"/>
      <c r="Q19" s="4"/>
      <c r="R19" s="4"/>
      <c r="S19" s="4"/>
      <c r="T19" s="4"/>
      <c r="AO19" s="4"/>
    </row>
    <row r="20" spans="1:41" ht="0.2" customHeight="1" x14ac:dyDescent="0.2">
      <c r="A20" s="514"/>
      <c r="B20" s="378" t="s">
        <v>391</v>
      </c>
      <c r="C20" s="381"/>
      <c r="D20" s="381"/>
      <c r="E20" s="381"/>
      <c r="F20" s="381"/>
      <c r="G20" s="381"/>
      <c r="H20" s="381"/>
      <c r="I20" s="381"/>
      <c r="J20" s="381"/>
      <c r="K20" s="1564"/>
      <c r="L20" s="1456">
        <f>SUM(C20:K20)</f>
        <v>0</v>
      </c>
      <c r="M20" s="536"/>
      <c r="N20" s="110"/>
      <c r="O20" s="110"/>
      <c r="P20" s="4"/>
      <c r="Q20" s="4"/>
      <c r="R20" s="4"/>
      <c r="S20" s="4"/>
      <c r="T20" s="4"/>
      <c r="AO20" s="4"/>
    </row>
    <row r="21" spans="1:41" ht="24.75" customHeight="1" x14ac:dyDescent="0.2">
      <c r="A21" s="514" t="s">
        <v>325</v>
      </c>
      <c r="B21" s="378" t="s">
        <v>326</v>
      </c>
      <c r="C21" s="381"/>
      <c r="D21" s="381"/>
      <c r="E21" s="381"/>
      <c r="F21" s="381"/>
      <c r="G21" s="381"/>
      <c r="H21" s="381"/>
      <c r="I21" s="381"/>
      <c r="J21" s="381"/>
      <c r="K21" s="1564"/>
      <c r="L21" s="1456"/>
      <c r="M21" s="536"/>
      <c r="N21" s="110"/>
      <c r="O21" s="110"/>
      <c r="P21" s="4"/>
      <c r="Q21" s="4"/>
      <c r="R21" s="4"/>
      <c r="S21" s="4"/>
      <c r="T21" s="4"/>
      <c r="AO21" s="4"/>
    </row>
    <row r="22" spans="1:41" s="369" customFormat="1" ht="12" customHeight="1" thickBot="1" x14ac:dyDescent="0.25">
      <c r="A22" s="1452"/>
      <c r="B22" s="558" t="s">
        <v>392</v>
      </c>
      <c r="C22" s="559"/>
      <c r="D22" s="559"/>
      <c r="E22" s="559">
        <f>SUM('5.a.sz. melléklet'!E19)</f>
        <v>199</v>
      </c>
      <c r="F22" s="559"/>
      <c r="G22" s="559"/>
      <c r="H22" s="559"/>
      <c r="I22" s="559"/>
      <c r="J22" s="559"/>
      <c r="K22" s="1565"/>
      <c r="L22" s="1457">
        <f>SUM(C22:K22)</f>
        <v>199</v>
      </c>
      <c r="M22" s="536"/>
      <c r="N22" s="110"/>
      <c r="O22" s="11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0.2" customHeight="1" x14ac:dyDescent="0.2">
      <c r="A23" s="1451"/>
      <c r="B23" s="533" t="s">
        <v>393</v>
      </c>
      <c r="C23" s="515"/>
      <c r="D23" s="515"/>
      <c r="E23" s="515"/>
      <c r="F23" s="515"/>
      <c r="G23" s="515"/>
      <c r="H23" s="515"/>
      <c r="I23" s="515"/>
      <c r="J23" s="515"/>
      <c r="K23" s="1566"/>
      <c r="L23" s="1456">
        <f>SUM(C23:K23)</f>
        <v>0</v>
      </c>
      <c r="M23" s="536"/>
      <c r="N23" s="110"/>
      <c r="O23" s="110"/>
      <c r="P23" s="4"/>
      <c r="Q23" s="4"/>
      <c r="R23" s="4"/>
      <c r="S23" s="4"/>
      <c r="T23" s="4"/>
      <c r="AO23" s="4"/>
    </row>
    <row r="24" spans="1:41" ht="0.2" customHeight="1" x14ac:dyDescent="0.2">
      <c r="A24" s="514"/>
      <c r="B24" s="378" t="s">
        <v>391</v>
      </c>
      <c r="C24" s="381"/>
      <c r="D24" s="381"/>
      <c r="E24" s="381"/>
      <c r="F24" s="381"/>
      <c r="G24" s="381"/>
      <c r="H24" s="381"/>
      <c r="I24" s="381"/>
      <c r="J24" s="381"/>
      <c r="K24" s="1564"/>
      <c r="L24" s="1456">
        <f>SUM(C24:K24)</f>
        <v>0</v>
      </c>
      <c r="M24" s="536"/>
      <c r="N24" s="110"/>
      <c r="O24" s="110"/>
      <c r="P24" s="4"/>
      <c r="Q24" s="4"/>
      <c r="R24" s="4"/>
      <c r="S24" s="4"/>
      <c r="T24" s="4"/>
      <c r="AO24" s="4"/>
    </row>
    <row r="25" spans="1:41" ht="13.5" customHeight="1" x14ac:dyDescent="0.2">
      <c r="A25" s="516" t="s">
        <v>305</v>
      </c>
      <c r="B25" s="440" t="s">
        <v>306</v>
      </c>
      <c r="C25" s="381"/>
      <c r="D25" s="381"/>
      <c r="E25" s="381"/>
      <c r="F25" s="381"/>
      <c r="G25" s="381"/>
      <c r="H25" s="381"/>
      <c r="I25" s="381"/>
      <c r="J25" s="381"/>
      <c r="K25" s="1564"/>
      <c r="L25" s="1456"/>
      <c r="M25" s="536"/>
      <c r="N25" s="110"/>
      <c r="O25" s="110"/>
      <c r="P25" s="4"/>
      <c r="Q25" s="4"/>
      <c r="R25" s="4"/>
      <c r="S25" s="4"/>
      <c r="T25" s="4"/>
      <c r="AO25" s="4"/>
    </row>
    <row r="26" spans="1:41" s="369" customFormat="1" ht="13.5" customHeight="1" thickBot="1" x14ac:dyDescent="0.25">
      <c r="A26" s="1525"/>
      <c r="B26" s="558" t="s">
        <v>392</v>
      </c>
      <c r="C26" s="559"/>
      <c r="D26" s="559"/>
      <c r="E26" s="559"/>
      <c r="F26" s="559"/>
      <c r="G26" s="559"/>
      <c r="H26" s="559"/>
      <c r="I26" s="559"/>
      <c r="J26" s="559">
        <f>SUM('5.a.sz. melléklet'!J23)</f>
        <v>350000</v>
      </c>
      <c r="K26" s="1565"/>
      <c r="L26" s="1457">
        <f>SUM(C26:K26)</f>
        <v>350000</v>
      </c>
      <c r="M26" s="536"/>
      <c r="N26" s="110"/>
      <c r="O26" s="11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0.2" customHeight="1" x14ac:dyDescent="0.2">
      <c r="A27" s="1513"/>
      <c r="B27" s="533" t="s">
        <v>393</v>
      </c>
      <c r="C27" s="515"/>
      <c r="D27" s="515"/>
      <c r="E27" s="515"/>
      <c r="F27" s="515"/>
      <c r="G27" s="515"/>
      <c r="H27" s="515"/>
      <c r="I27" s="515"/>
      <c r="J27" s="515"/>
      <c r="K27" s="1566"/>
      <c r="L27" s="1456">
        <f>SUM(C27:K27)</f>
        <v>0</v>
      </c>
      <c r="M27" s="536"/>
      <c r="N27" s="110"/>
      <c r="O27" s="110"/>
      <c r="P27" s="4"/>
      <c r="Q27" s="4"/>
      <c r="R27" s="4"/>
      <c r="S27" s="4"/>
      <c r="T27" s="4"/>
      <c r="AO27" s="4"/>
    </row>
    <row r="28" spans="1:41" ht="0.2" customHeight="1" thickBot="1" x14ac:dyDescent="0.25">
      <c r="A28" s="516"/>
      <c r="B28" s="378" t="s">
        <v>391</v>
      </c>
      <c r="C28" s="381"/>
      <c r="D28" s="381"/>
      <c r="E28" s="381"/>
      <c r="F28" s="381"/>
      <c r="G28" s="381"/>
      <c r="H28" s="381"/>
      <c r="I28" s="381"/>
      <c r="J28" s="381"/>
      <c r="K28" s="1564"/>
      <c r="L28" s="1461"/>
      <c r="M28" s="536"/>
      <c r="N28" s="110"/>
      <c r="O28" s="110"/>
      <c r="P28" s="4"/>
      <c r="Q28" s="4"/>
      <c r="R28" s="4"/>
      <c r="S28" s="4"/>
      <c r="T28" s="4"/>
      <c r="AO28" s="4"/>
    </row>
    <row r="29" spans="1:41" ht="19.5" customHeight="1" x14ac:dyDescent="0.2">
      <c r="A29" s="514" t="s">
        <v>270</v>
      </c>
      <c r="B29" s="378" t="s">
        <v>168</v>
      </c>
      <c r="C29" s="1327"/>
      <c r="D29" s="1328"/>
      <c r="E29" s="1328"/>
      <c r="F29" s="1328"/>
      <c r="G29" s="1328"/>
      <c r="H29" s="1328"/>
      <c r="I29" s="1328"/>
      <c r="J29" s="1328"/>
      <c r="K29" s="1567"/>
      <c r="L29" s="1456"/>
      <c r="M29" s="536"/>
      <c r="N29" s="110"/>
      <c r="O29" s="110"/>
      <c r="P29" s="4"/>
      <c r="Q29" s="4"/>
      <c r="R29" s="4"/>
      <c r="S29" s="4"/>
      <c r="T29" s="4"/>
      <c r="AO29" s="4"/>
    </row>
    <row r="30" spans="1:41" s="369" customFormat="1" ht="14.25" customHeight="1" thickBot="1" x14ac:dyDescent="0.25">
      <c r="A30" s="1452"/>
      <c r="B30" s="558" t="s">
        <v>392</v>
      </c>
      <c r="C30" s="1526">
        <f>SUM('5.a.sz. melléklet'!C43)</f>
        <v>8351</v>
      </c>
      <c r="D30" s="1527"/>
      <c r="E30" s="1527"/>
      <c r="F30" s="1527"/>
      <c r="G30" s="1527"/>
      <c r="H30" s="1527"/>
      <c r="I30" s="1527"/>
      <c r="J30" s="1527"/>
      <c r="K30" s="1568"/>
      <c r="L30" s="1457">
        <f>SUM(C30:K30)</f>
        <v>8351</v>
      </c>
      <c r="M30" s="536"/>
      <c r="N30" s="110"/>
      <c r="O30" s="1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0.2" customHeight="1" x14ac:dyDescent="0.2">
      <c r="A31" s="1451"/>
      <c r="B31" s="533" t="s">
        <v>393</v>
      </c>
      <c r="C31" s="1514"/>
      <c r="D31" s="1515"/>
      <c r="E31" s="1515"/>
      <c r="F31" s="1515"/>
      <c r="G31" s="1515"/>
      <c r="H31" s="1515"/>
      <c r="I31" s="1515"/>
      <c r="J31" s="1515"/>
      <c r="K31" s="1569"/>
      <c r="L31" s="1456">
        <f>SUM(C31:K31)</f>
        <v>0</v>
      </c>
      <c r="M31" s="536"/>
      <c r="N31" s="110"/>
      <c r="O31" s="110"/>
      <c r="P31" s="4"/>
      <c r="Q31" s="4"/>
      <c r="R31" s="4"/>
      <c r="S31" s="4"/>
      <c r="T31" s="4"/>
      <c r="AO31" s="4"/>
    </row>
    <row r="32" spans="1:41" ht="0.2" customHeight="1" x14ac:dyDescent="0.2">
      <c r="A32" s="514"/>
      <c r="B32" s="378" t="s">
        <v>391</v>
      </c>
      <c r="C32" s="1327"/>
      <c r="D32" s="1328"/>
      <c r="E32" s="1328"/>
      <c r="F32" s="1328"/>
      <c r="G32" s="1328"/>
      <c r="H32" s="1328"/>
      <c r="I32" s="1328"/>
      <c r="J32" s="1328"/>
      <c r="K32" s="1567"/>
      <c r="L32" s="1456">
        <f>SUM(C32:K32)</f>
        <v>0</v>
      </c>
      <c r="M32" s="536"/>
      <c r="N32" s="110"/>
      <c r="O32" s="110"/>
      <c r="P32" s="4"/>
      <c r="Q32" s="4"/>
      <c r="R32" s="4"/>
      <c r="S32" s="4"/>
      <c r="T32" s="4"/>
      <c r="AO32" s="4"/>
    </row>
    <row r="33" spans="1:41" ht="27.75" customHeight="1" x14ac:dyDescent="0.2">
      <c r="A33" s="514" t="s">
        <v>271</v>
      </c>
      <c r="B33" s="378" t="s">
        <v>303</v>
      </c>
      <c r="C33" s="1327"/>
      <c r="D33" s="1328"/>
      <c r="E33" s="1328"/>
      <c r="F33" s="1328"/>
      <c r="G33" s="1328"/>
      <c r="H33" s="1328"/>
      <c r="I33" s="1328"/>
      <c r="J33" s="1328"/>
      <c r="K33" s="1567"/>
      <c r="L33" s="1456"/>
      <c r="M33" s="536"/>
      <c r="N33" s="110"/>
      <c r="O33" s="110"/>
      <c r="P33" s="4"/>
      <c r="Q33" s="4"/>
      <c r="R33" s="4"/>
      <c r="S33" s="4"/>
      <c r="T33" s="4"/>
      <c r="AO33" s="4"/>
    </row>
    <row r="34" spans="1:41" s="369" customFormat="1" ht="14.25" customHeight="1" thickBot="1" x14ac:dyDescent="0.25">
      <c r="A34" s="1452"/>
      <c r="B34" s="558" t="s">
        <v>392</v>
      </c>
      <c r="C34" s="1526">
        <f>SUM('5.a.sz. melléklet'!C47)</f>
        <v>8460</v>
      </c>
      <c r="D34" s="1527"/>
      <c r="E34" s="1527"/>
      <c r="F34" s="1527"/>
      <c r="G34" s="1527"/>
      <c r="H34" s="1527"/>
      <c r="I34" s="1527"/>
      <c r="J34" s="1527"/>
      <c r="K34" s="1568"/>
      <c r="L34" s="1457">
        <f>SUM(C34:K34)</f>
        <v>8460</v>
      </c>
      <c r="M34" s="536"/>
      <c r="N34" s="110"/>
      <c r="O34" s="110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0.2" customHeight="1" x14ac:dyDescent="0.2">
      <c r="A35" s="1451"/>
      <c r="B35" s="533" t="s">
        <v>393</v>
      </c>
      <c r="C35" s="1514"/>
      <c r="D35" s="1515"/>
      <c r="E35" s="1515"/>
      <c r="F35" s="1515"/>
      <c r="G35" s="1515"/>
      <c r="H35" s="1516"/>
      <c r="I35" s="1515"/>
      <c r="J35" s="1515"/>
      <c r="K35" s="1569"/>
      <c r="L35" s="1456">
        <f>SUM(C35:K35)</f>
        <v>0</v>
      </c>
      <c r="M35" s="536"/>
      <c r="N35" s="110"/>
      <c r="O35" s="110"/>
      <c r="P35" s="4"/>
      <c r="Q35" s="4"/>
      <c r="R35" s="4"/>
      <c r="S35" s="4"/>
      <c r="T35" s="4"/>
      <c r="AO35" s="4"/>
    </row>
    <row r="36" spans="1:41" ht="0.2" customHeight="1" x14ac:dyDescent="0.2">
      <c r="A36" s="514"/>
      <c r="B36" s="378" t="s">
        <v>391</v>
      </c>
      <c r="C36" s="1327"/>
      <c r="D36" s="1328"/>
      <c r="E36" s="1328"/>
      <c r="F36" s="1328"/>
      <c r="G36" s="1328"/>
      <c r="H36" s="1329"/>
      <c r="I36" s="1328"/>
      <c r="J36" s="1328"/>
      <c r="K36" s="1567"/>
      <c r="L36" s="1456">
        <f>SUM(C36:K36)</f>
        <v>0</v>
      </c>
      <c r="M36" s="536"/>
      <c r="N36" s="110"/>
      <c r="O36" s="110"/>
      <c r="P36" s="4"/>
      <c r="Q36" s="4"/>
      <c r="R36" s="4"/>
      <c r="S36" s="4"/>
      <c r="T36" s="4"/>
      <c r="AO36" s="4"/>
    </row>
    <row r="37" spans="1:41" ht="15" customHeight="1" x14ac:dyDescent="0.2">
      <c r="A37" s="514" t="s">
        <v>262</v>
      </c>
      <c r="B37" s="378" t="s">
        <v>323</v>
      </c>
      <c r="C37" s="381"/>
      <c r="D37" s="381"/>
      <c r="E37" s="381"/>
      <c r="F37" s="381"/>
      <c r="G37" s="381"/>
      <c r="H37" s="381"/>
      <c r="I37" s="381"/>
      <c r="J37" s="381"/>
      <c r="K37" s="1564"/>
      <c r="L37" s="1456"/>
      <c r="M37" s="536"/>
      <c r="N37" s="110"/>
      <c r="O37" s="110"/>
      <c r="P37" s="4"/>
      <c r="Q37" s="4"/>
      <c r="R37" s="4"/>
      <c r="S37" s="4"/>
      <c r="T37" s="4"/>
      <c r="AO37" s="4"/>
    </row>
    <row r="38" spans="1:41" s="369" customFormat="1" ht="15" customHeight="1" thickBot="1" x14ac:dyDescent="0.25">
      <c r="A38" s="1452"/>
      <c r="B38" s="558" t="s">
        <v>392</v>
      </c>
      <c r="C38" s="559"/>
      <c r="D38" s="559"/>
      <c r="E38" s="559"/>
      <c r="F38" s="559"/>
      <c r="G38" s="559"/>
      <c r="H38" s="559"/>
      <c r="I38" s="559"/>
      <c r="J38" s="559"/>
      <c r="K38" s="1565"/>
      <c r="L38" s="1457">
        <f>SUM(C38:K38)</f>
        <v>0</v>
      </c>
      <c r="M38" s="536"/>
      <c r="N38" s="110"/>
      <c r="O38" s="11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0.2" customHeight="1" x14ac:dyDescent="0.2">
      <c r="A39" s="1451"/>
      <c r="B39" s="533" t="s">
        <v>393</v>
      </c>
      <c r="C39" s="515"/>
      <c r="D39" s="515"/>
      <c r="E39" s="515"/>
      <c r="F39" s="515"/>
      <c r="G39" s="515"/>
      <c r="H39" s="515"/>
      <c r="I39" s="515"/>
      <c r="J39" s="515"/>
      <c r="K39" s="1566"/>
      <c r="L39" s="1456">
        <f>SUM(C39:K39)</f>
        <v>0</v>
      </c>
      <c r="M39" s="536"/>
      <c r="N39" s="110"/>
      <c r="O39" s="110"/>
      <c r="P39" s="4"/>
      <c r="Q39" s="4"/>
      <c r="R39" s="4"/>
      <c r="S39" s="4"/>
      <c r="T39" s="4"/>
      <c r="AO39" s="4"/>
    </row>
    <row r="40" spans="1:41" ht="0.2" customHeight="1" x14ac:dyDescent="0.2">
      <c r="A40" s="514"/>
      <c r="B40" s="378" t="s">
        <v>391</v>
      </c>
      <c r="C40" s="381"/>
      <c r="D40" s="381"/>
      <c r="E40" s="381"/>
      <c r="F40" s="381"/>
      <c r="G40" s="381"/>
      <c r="H40" s="381"/>
      <c r="I40" s="381"/>
      <c r="J40" s="381"/>
      <c r="K40" s="1564"/>
      <c r="L40" s="1456">
        <f>SUM(C40:K40)</f>
        <v>0</v>
      </c>
      <c r="M40" s="536"/>
      <c r="N40" s="110"/>
      <c r="O40" s="110"/>
      <c r="P40" s="4"/>
      <c r="Q40" s="4"/>
      <c r="R40" s="4"/>
      <c r="S40" s="4"/>
      <c r="T40" s="4"/>
      <c r="AO40" s="4"/>
    </row>
    <row r="41" spans="1:41" ht="15.75" customHeight="1" x14ac:dyDescent="0.2">
      <c r="A41" s="514" t="s">
        <v>273</v>
      </c>
      <c r="B41" s="378" t="s">
        <v>274</v>
      </c>
      <c r="C41" s="381"/>
      <c r="D41" s="381"/>
      <c r="E41" s="381"/>
      <c r="F41" s="381"/>
      <c r="G41" s="381"/>
      <c r="H41" s="381"/>
      <c r="I41" s="381"/>
      <c r="J41" s="381"/>
      <c r="K41" s="1564"/>
      <c r="L41" s="1456"/>
      <c r="M41" s="536"/>
      <c r="N41" s="110"/>
      <c r="O41" s="110"/>
      <c r="P41" s="4"/>
      <c r="Q41" s="4"/>
      <c r="R41" s="4"/>
      <c r="S41" s="4"/>
      <c r="T41" s="4"/>
      <c r="AO41" s="4"/>
    </row>
    <row r="42" spans="1:41" s="369" customFormat="1" ht="15.75" customHeight="1" thickBot="1" x14ac:dyDescent="0.25">
      <c r="A42" s="1452"/>
      <c r="B42" s="558" t="s">
        <v>392</v>
      </c>
      <c r="C42" s="559"/>
      <c r="D42" s="559"/>
      <c r="E42" s="559"/>
      <c r="F42" s="559"/>
      <c r="G42" s="559"/>
      <c r="H42" s="559"/>
      <c r="I42" s="559"/>
      <c r="J42" s="559"/>
      <c r="K42" s="1565"/>
      <c r="L42" s="1457">
        <f>SUM(C42:K42)</f>
        <v>0</v>
      </c>
      <c r="M42" s="536"/>
      <c r="N42" s="110"/>
      <c r="O42" s="11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0.2" customHeight="1" x14ac:dyDescent="0.2">
      <c r="A43" s="1451"/>
      <c r="B43" s="533" t="s">
        <v>393</v>
      </c>
      <c r="C43" s="515"/>
      <c r="D43" s="515"/>
      <c r="E43" s="515"/>
      <c r="F43" s="515"/>
      <c r="G43" s="515"/>
      <c r="H43" s="515"/>
      <c r="I43" s="515"/>
      <c r="J43" s="515"/>
      <c r="K43" s="1566"/>
      <c r="L43" s="1456">
        <f>SUM(C43:K43)</f>
        <v>0</v>
      </c>
      <c r="M43" s="536"/>
      <c r="N43" s="110"/>
      <c r="O43" s="110"/>
      <c r="P43" s="4"/>
      <c r="Q43" s="4"/>
      <c r="R43" s="4"/>
      <c r="S43" s="4"/>
      <c r="T43" s="4"/>
      <c r="AO43" s="4"/>
    </row>
    <row r="44" spans="1:41" ht="0.2" customHeight="1" x14ac:dyDescent="0.2">
      <c r="A44" s="514"/>
      <c r="B44" s="378" t="s">
        <v>391</v>
      </c>
      <c r="C44" s="381"/>
      <c r="D44" s="381"/>
      <c r="E44" s="381"/>
      <c r="F44" s="381"/>
      <c r="G44" s="381"/>
      <c r="H44" s="381"/>
      <c r="I44" s="381"/>
      <c r="J44" s="381"/>
      <c r="K44" s="1564"/>
      <c r="L44" s="1456">
        <f>SUM(C44:K44)</f>
        <v>0</v>
      </c>
      <c r="M44" s="536"/>
      <c r="N44" s="110"/>
      <c r="O44" s="110"/>
      <c r="P44" s="4"/>
      <c r="Q44" s="4"/>
      <c r="R44" s="4"/>
      <c r="S44" s="4"/>
      <c r="T44" s="4"/>
      <c r="AO44" s="4"/>
    </row>
    <row r="45" spans="1:41" ht="15.75" customHeight="1" x14ac:dyDescent="0.2">
      <c r="A45" s="514" t="s">
        <v>324</v>
      </c>
      <c r="B45" s="378" t="s">
        <v>113</v>
      </c>
      <c r="C45" s="381"/>
      <c r="D45" s="381"/>
      <c r="E45" s="381"/>
      <c r="F45" s="381"/>
      <c r="G45" s="381"/>
      <c r="H45" s="381"/>
      <c r="I45" s="381"/>
      <c r="J45" s="381"/>
      <c r="K45" s="1564"/>
      <c r="L45" s="1456"/>
      <c r="M45" s="536"/>
      <c r="N45" s="110"/>
      <c r="O45" s="110"/>
      <c r="P45" s="4"/>
      <c r="Q45" s="4"/>
      <c r="R45" s="4"/>
      <c r="S45" s="4"/>
      <c r="T45" s="4"/>
      <c r="AO45" s="4"/>
    </row>
    <row r="46" spans="1:41" s="369" customFormat="1" ht="15.75" customHeight="1" thickBot="1" x14ac:dyDescent="0.25">
      <c r="A46" s="1452"/>
      <c r="B46" s="558" t="s">
        <v>392</v>
      </c>
      <c r="C46" s="559">
        <f>SUM('5.a.sz. melléklet'!C59)</f>
        <v>980</v>
      </c>
      <c r="D46" s="559"/>
      <c r="E46" s="559"/>
      <c r="F46" s="559"/>
      <c r="G46" s="559"/>
      <c r="H46" s="559"/>
      <c r="I46" s="559"/>
      <c r="J46" s="559"/>
      <c r="K46" s="1565"/>
      <c r="L46" s="1457">
        <f>SUM(C46:K46)</f>
        <v>980</v>
      </c>
      <c r="M46" s="536"/>
      <c r="N46" s="110"/>
      <c r="O46" s="11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0.2" customHeight="1" x14ac:dyDescent="0.2">
      <c r="A47" s="1451"/>
      <c r="B47" s="533" t="s">
        <v>393</v>
      </c>
      <c r="C47" s="515"/>
      <c r="D47" s="515"/>
      <c r="E47" s="515"/>
      <c r="F47" s="515"/>
      <c r="G47" s="515"/>
      <c r="H47" s="515"/>
      <c r="I47" s="515"/>
      <c r="J47" s="515"/>
      <c r="K47" s="1566"/>
      <c r="L47" s="1456">
        <f>SUM(C47:K47)</f>
        <v>0</v>
      </c>
      <c r="M47" s="536"/>
      <c r="N47" s="110"/>
      <c r="O47" s="110"/>
      <c r="P47" s="4"/>
      <c r="Q47" s="4"/>
      <c r="R47" s="4"/>
      <c r="S47" s="4"/>
      <c r="T47" s="4"/>
      <c r="AO47" s="4"/>
    </row>
    <row r="48" spans="1:41" ht="0.2" customHeight="1" x14ac:dyDescent="0.2">
      <c r="A48" s="514"/>
      <c r="B48" s="378" t="s">
        <v>391</v>
      </c>
      <c r="C48" s="381"/>
      <c r="D48" s="381"/>
      <c r="E48" s="381"/>
      <c r="F48" s="381"/>
      <c r="G48" s="381"/>
      <c r="H48" s="381"/>
      <c r="I48" s="381"/>
      <c r="J48" s="381"/>
      <c r="K48" s="1564"/>
      <c r="L48" s="1456">
        <f>SUM(C48:K48)</f>
        <v>0</v>
      </c>
      <c r="M48" s="536"/>
      <c r="N48" s="110"/>
      <c r="O48" s="110"/>
      <c r="P48" s="4"/>
      <c r="Q48" s="4"/>
      <c r="R48" s="4"/>
      <c r="S48" s="4"/>
      <c r="T48" s="4"/>
      <c r="AO48" s="4"/>
    </row>
    <row r="49" spans="1:41" ht="23.25" customHeight="1" x14ac:dyDescent="0.2">
      <c r="A49" s="514" t="s">
        <v>278</v>
      </c>
      <c r="B49" s="378" t="s">
        <v>170</v>
      </c>
      <c r="C49" s="381"/>
      <c r="D49" s="381"/>
      <c r="E49" s="381"/>
      <c r="F49" s="381"/>
      <c r="G49" s="381"/>
      <c r="H49" s="381"/>
      <c r="I49" s="381"/>
      <c r="J49" s="381"/>
      <c r="K49" s="1564"/>
      <c r="L49" s="1456"/>
      <c r="M49" s="536"/>
      <c r="N49" s="110"/>
      <c r="O49" s="110"/>
      <c r="P49" s="4"/>
      <c r="Q49" s="4"/>
      <c r="R49" s="4"/>
      <c r="S49" s="4"/>
      <c r="T49" s="4"/>
      <c r="AO49" s="4"/>
    </row>
    <row r="50" spans="1:41" s="369" customFormat="1" ht="15.75" customHeight="1" thickBot="1" x14ac:dyDescent="0.25">
      <c r="A50" s="1452"/>
      <c r="B50" s="558" t="s">
        <v>392</v>
      </c>
      <c r="C50" s="559"/>
      <c r="D50" s="559"/>
      <c r="E50" s="559"/>
      <c r="F50" s="559">
        <f>SUM('5.a.sz. melléklet'!F63)</f>
        <v>8544</v>
      </c>
      <c r="G50" s="559"/>
      <c r="H50" s="559"/>
      <c r="I50" s="559"/>
      <c r="J50" s="559"/>
      <c r="K50" s="1565"/>
      <c r="L50" s="1457">
        <f>SUM(C50:K50)</f>
        <v>8544</v>
      </c>
      <c r="M50" s="536"/>
      <c r="N50" s="110"/>
      <c r="O50" s="11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0.2" customHeight="1" x14ac:dyDescent="0.2">
      <c r="A51" s="1451"/>
      <c r="B51" s="533" t="s">
        <v>393</v>
      </c>
      <c r="C51" s="515"/>
      <c r="D51" s="515"/>
      <c r="E51" s="515"/>
      <c r="F51" s="515"/>
      <c r="G51" s="515"/>
      <c r="H51" s="515"/>
      <c r="I51" s="515"/>
      <c r="J51" s="515"/>
      <c r="K51" s="1566"/>
      <c r="L51" s="1456">
        <f>SUM(C51:K51)</f>
        <v>0</v>
      </c>
      <c r="M51" s="536"/>
      <c r="N51" s="110"/>
      <c r="O51" s="110"/>
      <c r="P51" s="4"/>
      <c r="Q51" s="4"/>
      <c r="R51" s="4"/>
      <c r="S51" s="4"/>
      <c r="T51" s="4"/>
      <c r="AO51" s="4"/>
    </row>
    <row r="52" spans="1:41" ht="0.2" customHeight="1" x14ac:dyDescent="0.2">
      <c r="A52" s="514"/>
      <c r="B52" s="378" t="s">
        <v>391</v>
      </c>
      <c r="C52" s="381"/>
      <c r="D52" s="381"/>
      <c r="E52" s="381"/>
      <c r="F52" s="381"/>
      <c r="G52" s="381"/>
      <c r="H52" s="381"/>
      <c r="I52" s="381"/>
      <c r="J52" s="381"/>
      <c r="K52" s="1564"/>
      <c r="L52" s="1456">
        <f>SUM(C52:K52)</f>
        <v>0</v>
      </c>
      <c r="M52" s="536"/>
      <c r="N52" s="110"/>
      <c r="O52" s="110"/>
      <c r="P52" s="4"/>
      <c r="Q52" s="4"/>
      <c r="R52" s="4"/>
      <c r="S52" s="4"/>
      <c r="T52" s="4"/>
      <c r="AO52" s="4"/>
    </row>
    <row r="53" spans="1:41" ht="15.75" customHeight="1" x14ac:dyDescent="0.2">
      <c r="A53" s="514" t="s">
        <v>279</v>
      </c>
      <c r="B53" s="378" t="s">
        <v>339</v>
      </c>
      <c r="C53" s="381"/>
      <c r="D53" s="381"/>
      <c r="E53" s="381"/>
      <c r="F53" s="381"/>
      <c r="G53" s="381"/>
      <c r="H53" s="381"/>
      <c r="I53" s="381"/>
      <c r="J53" s="381"/>
      <c r="K53" s="1564"/>
      <c r="L53" s="1456"/>
      <c r="M53" s="536"/>
      <c r="N53" s="110"/>
      <c r="O53" s="110"/>
      <c r="P53" s="4"/>
      <c r="Q53" s="4"/>
      <c r="R53" s="4"/>
      <c r="S53" s="4"/>
      <c r="T53" s="4"/>
      <c r="AO53" s="4"/>
    </row>
    <row r="54" spans="1:41" s="369" customFormat="1" ht="15.75" customHeight="1" thickBot="1" x14ac:dyDescent="0.25">
      <c r="A54" s="1452"/>
      <c r="B54" s="558" t="s">
        <v>392</v>
      </c>
      <c r="C54" s="559"/>
      <c r="D54" s="559"/>
      <c r="E54" s="559"/>
      <c r="F54" s="559">
        <f>SUM('5.a.sz. melléklet'!F67)</f>
        <v>336</v>
      </c>
      <c r="G54" s="559"/>
      <c r="H54" s="559"/>
      <c r="I54" s="559"/>
      <c r="J54" s="559"/>
      <c r="K54" s="1565"/>
      <c r="L54" s="1457">
        <f>SUM(C54:K54)</f>
        <v>336</v>
      </c>
      <c r="M54" s="536"/>
      <c r="N54" s="110"/>
      <c r="O54" s="11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0.2" customHeight="1" x14ac:dyDescent="0.2">
      <c r="A55" s="1451"/>
      <c r="B55" s="533" t="s">
        <v>393</v>
      </c>
      <c r="C55" s="515"/>
      <c r="D55" s="515"/>
      <c r="E55" s="515"/>
      <c r="F55" s="515"/>
      <c r="G55" s="515"/>
      <c r="H55" s="515"/>
      <c r="I55" s="515"/>
      <c r="J55" s="515"/>
      <c r="K55" s="1566"/>
      <c r="L55" s="1456">
        <f>SUM(C55:K55)</f>
        <v>0</v>
      </c>
      <c r="M55" s="536"/>
      <c r="N55" s="110"/>
      <c r="O55" s="110"/>
      <c r="P55" s="4"/>
      <c r="Q55" s="4"/>
      <c r="R55" s="4"/>
      <c r="S55" s="4"/>
      <c r="T55" s="4"/>
      <c r="AO55" s="4"/>
    </row>
    <row r="56" spans="1:41" ht="0.2" customHeight="1" x14ac:dyDescent="0.2">
      <c r="A56" s="514"/>
      <c r="B56" s="378" t="s">
        <v>391</v>
      </c>
      <c r="C56" s="381"/>
      <c r="D56" s="381"/>
      <c r="E56" s="381"/>
      <c r="F56" s="381"/>
      <c r="G56" s="381"/>
      <c r="H56" s="381"/>
      <c r="I56" s="381"/>
      <c r="J56" s="381"/>
      <c r="K56" s="1564"/>
      <c r="L56" s="1456">
        <f>SUM(C56:K56)</f>
        <v>0</v>
      </c>
      <c r="M56" s="536"/>
      <c r="N56" s="110"/>
      <c r="O56" s="110"/>
      <c r="P56" s="4"/>
      <c r="Q56" s="4"/>
      <c r="R56" s="4"/>
      <c r="S56" s="4"/>
      <c r="T56" s="4"/>
      <c r="AO56" s="4"/>
    </row>
    <row r="57" spans="1:41" ht="18.75" customHeight="1" x14ac:dyDescent="0.2">
      <c r="A57" s="443" t="s">
        <v>254</v>
      </c>
      <c r="B57" s="378" t="s">
        <v>4</v>
      </c>
      <c r="C57" s="517"/>
      <c r="D57" s="381"/>
      <c r="E57" s="381"/>
      <c r="F57" s="381"/>
      <c r="G57" s="381"/>
      <c r="H57" s="381"/>
      <c r="I57" s="381"/>
      <c r="J57" s="381"/>
      <c r="K57" s="1564"/>
      <c r="L57" s="1456"/>
      <c r="M57" s="536"/>
      <c r="N57" s="110"/>
      <c r="O57" s="110"/>
      <c r="P57" s="4"/>
      <c r="Q57" s="4"/>
      <c r="R57" s="4"/>
      <c r="S57" s="4"/>
      <c r="T57" s="4"/>
      <c r="AO57" s="4"/>
    </row>
    <row r="58" spans="1:41" s="369" customFormat="1" ht="15" customHeight="1" thickBot="1" x14ac:dyDescent="0.25">
      <c r="A58" s="518"/>
      <c r="B58" s="558" t="s">
        <v>392</v>
      </c>
      <c r="C58" s="560">
        <f>SUM('15.sz.melléklet'!C30)</f>
        <v>205</v>
      </c>
      <c r="D58" s="559"/>
      <c r="E58" s="559">
        <f>SUM('5.a.sz. melléklet'!E71)</f>
        <v>2000</v>
      </c>
      <c r="F58" s="559"/>
      <c r="G58" s="559"/>
      <c r="H58" s="559"/>
      <c r="I58" s="559"/>
      <c r="J58" s="559"/>
      <c r="K58" s="1565"/>
      <c r="L58" s="1457">
        <f>SUM(C58:K58)</f>
        <v>2205</v>
      </c>
      <c r="M58" s="536"/>
      <c r="N58" s="110"/>
      <c r="O58" s="110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0.2" customHeight="1" x14ac:dyDescent="0.2">
      <c r="A59" s="1517"/>
      <c r="B59" s="533" t="s">
        <v>393</v>
      </c>
      <c r="C59" s="1518"/>
      <c r="D59" s="515"/>
      <c r="E59" s="515"/>
      <c r="F59" s="515"/>
      <c r="G59" s="515"/>
      <c r="H59" s="515"/>
      <c r="I59" s="515"/>
      <c r="J59" s="515"/>
      <c r="K59" s="1566"/>
      <c r="L59" s="1456">
        <f>SUM(C59:K59)</f>
        <v>0</v>
      </c>
      <c r="M59" s="536"/>
      <c r="N59" s="110"/>
      <c r="O59" s="110"/>
      <c r="P59" s="4"/>
      <c r="Q59" s="4"/>
      <c r="R59" s="4"/>
      <c r="S59" s="4"/>
      <c r="T59" s="4"/>
      <c r="AO59" s="4"/>
    </row>
    <row r="60" spans="1:41" ht="0.2" customHeight="1" x14ac:dyDescent="0.2">
      <c r="A60" s="443"/>
      <c r="B60" s="378" t="s">
        <v>391</v>
      </c>
      <c r="C60" s="517"/>
      <c r="D60" s="381"/>
      <c r="E60" s="381"/>
      <c r="F60" s="381"/>
      <c r="G60" s="381"/>
      <c r="H60" s="381"/>
      <c r="I60" s="381"/>
      <c r="J60" s="381"/>
      <c r="K60" s="1564"/>
      <c r="L60" s="1456">
        <f>SUM(C60:K60)</f>
        <v>0</v>
      </c>
      <c r="M60" s="536"/>
      <c r="N60" s="110"/>
      <c r="O60" s="110"/>
      <c r="P60" s="4"/>
      <c r="Q60" s="4"/>
      <c r="R60" s="4"/>
      <c r="S60" s="4"/>
      <c r="T60" s="4"/>
      <c r="AO60" s="4"/>
    </row>
    <row r="61" spans="1:41" ht="15" customHeight="1" x14ac:dyDescent="0.2">
      <c r="A61" s="443" t="s">
        <v>255</v>
      </c>
      <c r="B61" s="378" t="s">
        <v>101</v>
      </c>
      <c r="C61" s="517"/>
      <c r="D61" s="381"/>
      <c r="E61" s="381"/>
      <c r="F61" s="381"/>
      <c r="G61" s="381"/>
      <c r="H61" s="381"/>
      <c r="I61" s="381"/>
      <c r="J61" s="381"/>
      <c r="K61" s="1564"/>
      <c r="L61" s="1456"/>
      <c r="M61" s="536"/>
      <c r="N61" s="110"/>
      <c r="O61" s="110"/>
      <c r="P61" s="4"/>
      <c r="Q61" s="4"/>
      <c r="R61" s="4"/>
      <c r="S61" s="4"/>
      <c r="T61" s="4"/>
      <c r="AO61" s="4"/>
    </row>
    <row r="62" spans="1:41" s="369" customFormat="1" ht="15" customHeight="1" thickBot="1" x14ac:dyDescent="0.25">
      <c r="A62" s="518"/>
      <c r="B62" s="558" t="s">
        <v>392</v>
      </c>
      <c r="C62" s="560">
        <f>SUM('15.sz.melléklet'!C26)</f>
        <v>6500</v>
      </c>
      <c r="D62" s="559"/>
      <c r="E62" s="559">
        <f>SUM('5.a.sz. melléklet'!E75)</f>
        <v>4049</v>
      </c>
      <c r="F62" s="559"/>
      <c r="G62" s="559"/>
      <c r="H62" s="559"/>
      <c r="I62" s="559"/>
      <c r="J62" s="559"/>
      <c r="K62" s="1565"/>
      <c r="L62" s="1457">
        <f>SUM(C62:K62)</f>
        <v>10549</v>
      </c>
      <c r="M62" s="536"/>
      <c r="N62" s="110"/>
      <c r="O62" s="11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0.2" customHeight="1" thickBot="1" x14ac:dyDescent="0.25">
      <c r="A63" s="1517"/>
      <c r="B63" s="533" t="s">
        <v>393</v>
      </c>
      <c r="C63" s="1518"/>
      <c r="D63" s="515"/>
      <c r="E63" s="515"/>
      <c r="F63" s="515"/>
      <c r="G63" s="515"/>
      <c r="H63" s="515"/>
      <c r="I63" s="515"/>
      <c r="J63" s="515"/>
      <c r="K63" s="1566"/>
      <c r="L63" s="1456">
        <f>SUM(C63:K63)</f>
        <v>0</v>
      </c>
      <c r="M63" s="536"/>
      <c r="N63" s="110"/>
      <c r="O63" s="110"/>
      <c r="P63" s="4"/>
      <c r="Q63" s="4"/>
      <c r="R63" s="4"/>
      <c r="S63" s="4"/>
      <c r="T63" s="4"/>
      <c r="AO63" s="4"/>
    </row>
    <row r="64" spans="1:41" ht="0.2" customHeight="1" thickBot="1" x14ac:dyDescent="0.25">
      <c r="A64" s="443"/>
      <c r="B64" s="378" t="s">
        <v>391</v>
      </c>
      <c r="C64" s="517"/>
      <c r="D64" s="381"/>
      <c r="E64" s="381"/>
      <c r="F64" s="381"/>
      <c r="G64" s="381"/>
      <c r="H64" s="381"/>
      <c r="I64" s="381"/>
      <c r="J64" s="381"/>
      <c r="K64" s="1564"/>
      <c r="L64" s="1456">
        <f>SUM(C64:K64)</f>
        <v>0</v>
      </c>
      <c r="M64" s="536"/>
      <c r="N64" s="110"/>
      <c r="O64" s="110"/>
      <c r="P64" s="4"/>
      <c r="Q64" s="4"/>
      <c r="R64" s="4"/>
      <c r="S64" s="4"/>
      <c r="T64" s="4"/>
      <c r="AO64" s="4"/>
    </row>
    <row r="65" spans="1:41" ht="15" customHeight="1" x14ac:dyDescent="0.2">
      <c r="A65" s="443" t="s">
        <v>282</v>
      </c>
      <c r="B65" s="378" t="s">
        <v>283</v>
      </c>
      <c r="C65" s="517"/>
      <c r="D65" s="381"/>
      <c r="E65" s="381"/>
      <c r="F65" s="381"/>
      <c r="G65" s="381"/>
      <c r="H65" s="381"/>
      <c r="I65" s="381"/>
      <c r="J65" s="381"/>
      <c r="K65" s="1564"/>
      <c r="L65" s="1459"/>
      <c r="M65" s="536"/>
      <c r="N65" s="110"/>
      <c r="O65" s="110"/>
      <c r="P65" s="4"/>
      <c r="Q65" s="4"/>
      <c r="R65" s="4"/>
      <c r="S65" s="4"/>
      <c r="T65" s="4"/>
      <c r="AO65" s="4"/>
    </row>
    <row r="66" spans="1:41" s="369" customFormat="1" ht="15" customHeight="1" thickBot="1" x14ac:dyDescent="0.25">
      <c r="A66" s="518"/>
      <c r="B66" s="558" t="s">
        <v>392</v>
      </c>
      <c r="C66" s="560">
        <f>SUM('5.a.sz. melléklet'!C79)</f>
        <v>381</v>
      </c>
      <c r="D66" s="559"/>
      <c r="E66" s="559"/>
      <c r="F66" s="559"/>
      <c r="G66" s="559"/>
      <c r="H66" s="559"/>
      <c r="I66" s="559"/>
      <c r="J66" s="559"/>
      <c r="K66" s="1565"/>
      <c r="L66" s="1461">
        <f>SUM(C66:K66)</f>
        <v>381</v>
      </c>
      <c r="M66" s="536"/>
      <c r="N66" s="110"/>
      <c r="O66" s="11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0.2" customHeight="1" x14ac:dyDescent="0.2">
      <c r="A67" s="1517"/>
      <c r="B67" s="533" t="s">
        <v>393</v>
      </c>
      <c r="C67" s="1518"/>
      <c r="D67" s="515"/>
      <c r="E67" s="515"/>
      <c r="F67" s="515"/>
      <c r="G67" s="515"/>
      <c r="H67" s="515"/>
      <c r="I67" s="515"/>
      <c r="J67" s="515"/>
      <c r="K67" s="1566"/>
      <c r="L67" s="1456">
        <f>SUM(C67:K67)</f>
        <v>0</v>
      </c>
      <c r="M67" s="536"/>
      <c r="N67" s="110"/>
      <c r="O67" s="110"/>
      <c r="P67" s="4"/>
      <c r="Q67" s="4"/>
      <c r="R67" s="4"/>
      <c r="S67" s="4"/>
      <c r="T67" s="4"/>
      <c r="AO67" s="4"/>
    </row>
    <row r="68" spans="1:41" ht="0.2" customHeight="1" x14ac:dyDescent="0.2">
      <c r="A68" s="443"/>
      <c r="B68" s="378" t="s">
        <v>391</v>
      </c>
      <c r="C68" s="517"/>
      <c r="D68" s="381"/>
      <c r="E68" s="381"/>
      <c r="F68" s="381"/>
      <c r="G68" s="381"/>
      <c r="H68" s="381"/>
      <c r="I68" s="381"/>
      <c r="J68" s="381"/>
      <c r="K68" s="1564"/>
      <c r="L68" s="1460">
        <f>SUM(C68:K68)</f>
        <v>0</v>
      </c>
      <c r="M68" s="536"/>
      <c r="N68" s="110"/>
      <c r="O68" s="110"/>
      <c r="P68" s="4"/>
      <c r="Q68" s="4"/>
      <c r="R68" s="4"/>
      <c r="S68" s="4"/>
      <c r="T68" s="4"/>
      <c r="AO68" s="4"/>
    </row>
    <row r="69" spans="1:41" ht="15" customHeight="1" x14ac:dyDescent="0.2">
      <c r="A69" s="514" t="s">
        <v>298</v>
      </c>
      <c r="B69" s="378" t="s">
        <v>112</v>
      </c>
      <c r="C69" s="381"/>
      <c r="D69" s="381"/>
      <c r="E69" s="381"/>
      <c r="F69" s="381"/>
      <c r="G69" s="381"/>
      <c r="H69" s="381"/>
      <c r="I69" s="381"/>
      <c r="J69" s="381"/>
      <c r="K69" s="1564"/>
      <c r="L69" s="1456"/>
      <c r="M69" s="536"/>
      <c r="N69" s="110"/>
      <c r="O69" s="110"/>
      <c r="P69" s="4"/>
      <c r="Q69" s="4"/>
      <c r="R69" s="4"/>
      <c r="S69" s="4"/>
      <c r="T69" s="4"/>
      <c r="AO69" s="4"/>
    </row>
    <row r="70" spans="1:41" s="369" customFormat="1" ht="15" customHeight="1" thickBot="1" x14ac:dyDescent="0.25">
      <c r="A70" s="1452"/>
      <c r="B70" s="558" t="s">
        <v>392</v>
      </c>
      <c r="C70" s="559"/>
      <c r="D70" s="559"/>
      <c r="E70" s="559"/>
      <c r="F70" s="559"/>
      <c r="G70" s="559"/>
      <c r="H70" s="559"/>
      <c r="I70" s="559"/>
      <c r="J70" s="559"/>
      <c r="K70" s="1565"/>
      <c r="L70" s="1457">
        <f>SUM(C70:K70)</f>
        <v>0</v>
      </c>
      <c r="M70" s="536"/>
      <c r="N70" s="110"/>
      <c r="O70" s="11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0.2" customHeight="1" x14ac:dyDescent="0.2">
      <c r="A71" s="1451"/>
      <c r="B71" s="533" t="s">
        <v>393</v>
      </c>
      <c r="C71" s="515"/>
      <c r="D71" s="515"/>
      <c r="E71" s="515"/>
      <c r="F71" s="515"/>
      <c r="G71" s="515"/>
      <c r="H71" s="515"/>
      <c r="I71" s="515"/>
      <c r="J71" s="515"/>
      <c r="K71" s="1566"/>
      <c r="L71" s="1456">
        <f>SUM(C71:K71)</f>
        <v>0</v>
      </c>
      <c r="M71" s="536"/>
      <c r="N71" s="110"/>
      <c r="O71" s="110"/>
      <c r="P71" s="4"/>
      <c r="Q71" s="4"/>
      <c r="R71" s="4"/>
      <c r="S71" s="4"/>
      <c r="T71" s="4"/>
      <c r="AO71" s="4"/>
    </row>
    <row r="72" spans="1:41" ht="0.2" customHeight="1" x14ac:dyDescent="0.2">
      <c r="A72" s="514"/>
      <c r="B72" s="378" t="s">
        <v>391</v>
      </c>
      <c r="C72" s="381"/>
      <c r="D72" s="381"/>
      <c r="E72" s="381"/>
      <c r="F72" s="381"/>
      <c r="G72" s="381"/>
      <c r="H72" s="381"/>
      <c r="I72" s="381"/>
      <c r="J72" s="381"/>
      <c r="K72" s="1564"/>
      <c r="L72" s="1456">
        <f>SUM(C72:K72)</f>
        <v>0</v>
      </c>
      <c r="M72" s="536"/>
      <c r="N72" s="110"/>
      <c r="O72" s="110"/>
      <c r="P72" s="4"/>
      <c r="Q72" s="4"/>
      <c r="R72" s="4"/>
      <c r="S72" s="4"/>
      <c r="T72" s="4"/>
      <c r="AO72" s="4"/>
    </row>
    <row r="73" spans="1:41" ht="19.5" customHeight="1" x14ac:dyDescent="0.2">
      <c r="A73" s="1136" t="s">
        <v>247</v>
      </c>
      <c r="B73" s="1137" t="s">
        <v>492</v>
      </c>
      <c r="C73" s="255"/>
      <c r="D73" s="255"/>
      <c r="E73" s="255"/>
      <c r="F73" s="255"/>
      <c r="G73" s="255"/>
      <c r="H73" s="255"/>
      <c r="I73" s="255"/>
      <c r="J73" s="255"/>
      <c r="K73" s="1570"/>
      <c r="L73" s="1462"/>
      <c r="M73" s="169"/>
      <c r="N73" s="4"/>
      <c r="O73" s="4"/>
      <c r="P73" s="4"/>
      <c r="Q73" s="4"/>
      <c r="R73" s="4"/>
      <c r="S73" s="4"/>
      <c r="T73" s="4"/>
      <c r="AO73" s="4"/>
    </row>
    <row r="74" spans="1:41" s="369" customFormat="1" ht="15" customHeight="1" thickBot="1" x14ac:dyDescent="0.25">
      <c r="A74" s="1138"/>
      <c r="B74" s="1139" t="s">
        <v>392</v>
      </c>
      <c r="C74" s="631"/>
      <c r="D74" s="631"/>
      <c r="E74" s="631">
        <f>SUM('5.a.sz. melléklet'!E87)</f>
        <v>72608</v>
      </c>
      <c r="F74" s="631"/>
      <c r="G74" s="631"/>
      <c r="H74" s="631"/>
      <c r="I74" s="631"/>
      <c r="J74" s="631"/>
      <c r="K74" s="1571"/>
      <c r="L74" s="1528">
        <f>SUM(C74:K74)</f>
        <v>72608</v>
      </c>
      <c r="M74" s="16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0.2" customHeight="1" x14ac:dyDescent="0.2">
      <c r="A75" s="1519"/>
      <c r="B75" s="1520" t="s">
        <v>393</v>
      </c>
      <c r="C75" s="1521"/>
      <c r="D75" s="1521"/>
      <c r="E75" s="1521"/>
      <c r="F75" s="1521"/>
      <c r="G75" s="1521"/>
      <c r="H75" s="1521"/>
      <c r="I75" s="1521"/>
      <c r="J75" s="1521"/>
      <c r="K75" s="1572"/>
      <c r="L75" s="1462">
        <f>SUM(C75:K75)</f>
        <v>0</v>
      </c>
      <c r="M75" s="169"/>
      <c r="N75" s="4"/>
      <c r="O75" s="4"/>
      <c r="P75" s="4"/>
      <c r="Q75" s="4"/>
      <c r="R75" s="4"/>
      <c r="S75" s="4"/>
      <c r="T75" s="4"/>
      <c r="AO75" s="4"/>
    </row>
    <row r="76" spans="1:41" ht="0.2" customHeight="1" x14ac:dyDescent="0.2">
      <c r="A76" s="1136"/>
      <c r="B76" s="1137" t="s">
        <v>391</v>
      </c>
      <c r="C76" s="255"/>
      <c r="D76" s="255"/>
      <c r="E76" s="255"/>
      <c r="F76" s="255"/>
      <c r="G76" s="255"/>
      <c r="H76" s="255"/>
      <c r="I76" s="255"/>
      <c r="J76" s="255"/>
      <c r="K76" s="1570"/>
      <c r="L76" s="1463">
        <f>SUM(C76:K76)</f>
        <v>0</v>
      </c>
      <c r="M76" s="169"/>
      <c r="N76" s="4"/>
      <c r="O76" s="4"/>
      <c r="P76" s="4"/>
      <c r="Q76" s="4"/>
      <c r="R76" s="4"/>
      <c r="S76" s="4"/>
      <c r="T76" s="4"/>
      <c r="AO76" s="4"/>
    </row>
    <row r="77" spans="1:41" ht="22.5" customHeight="1" x14ac:dyDescent="0.2">
      <c r="A77" s="1136" t="s">
        <v>249</v>
      </c>
      <c r="B77" s="1137" t="s">
        <v>493</v>
      </c>
      <c r="C77" s="255"/>
      <c r="D77" s="255"/>
      <c r="E77" s="255"/>
      <c r="F77" s="255"/>
      <c r="G77" s="255"/>
      <c r="H77" s="255"/>
      <c r="I77" s="255"/>
      <c r="J77" s="255"/>
      <c r="K77" s="1570"/>
      <c r="L77" s="1462"/>
      <c r="M77" s="169"/>
      <c r="N77" s="4"/>
      <c r="O77" s="4"/>
      <c r="P77" s="4"/>
      <c r="Q77" s="4"/>
      <c r="R77" s="4"/>
      <c r="S77" s="4"/>
      <c r="T77" s="4"/>
      <c r="AO77" s="4"/>
    </row>
    <row r="78" spans="1:41" s="369" customFormat="1" ht="15" customHeight="1" thickBot="1" x14ac:dyDescent="0.25">
      <c r="A78" s="1138"/>
      <c r="B78" s="1139" t="s">
        <v>392</v>
      </c>
      <c r="C78" s="631"/>
      <c r="D78" s="631"/>
      <c r="E78" s="631">
        <f>SUM('5.a.sz. melléklet'!E91)</f>
        <v>11546</v>
      </c>
      <c r="F78" s="631"/>
      <c r="G78" s="631"/>
      <c r="H78" s="631"/>
      <c r="I78" s="631"/>
      <c r="J78" s="631"/>
      <c r="K78" s="1571"/>
      <c r="L78" s="1797">
        <f>SUM(C78:K78)</f>
        <v>11546</v>
      </c>
      <c r="M78" s="16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0.2" customHeight="1" x14ac:dyDescent="0.2">
      <c r="A79" s="1519"/>
      <c r="B79" s="1520" t="s">
        <v>393</v>
      </c>
      <c r="C79" s="1521"/>
      <c r="D79" s="1521"/>
      <c r="E79" s="1521"/>
      <c r="F79" s="1521"/>
      <c r="G79" s="1521"/>
      <c r="H79" s="1521"/>
      <c r="I79" s="1521"/>
      <c r="J79" s="1521"/>
      <c r="K79" s="1572"/>
      <c r="L79" s="1462">
        <f>SUM(E79:K79)</f>
        <v>0</v>
      </c>
      <c r="M79" s="169"/>
      <c r="N79" s="4"/>
      <c r="O79" s="4"/>
      <c r="P79" s="4"/>
      <c r="Q79" s="4"/>
      <c r="R79" s="4"/>
      <c r="S79" s="4"/>
      <c r="T79" s="4"/>
      <c r="AO79" s="4"/>
    </row>
    <row r="80" spans="1:41" ht="0.2" customHeight="1" x14ac:dyDescent="0.2">
      <c r="A80" s="1136"/>
      <c r="B80" s="1137" t="s">
        <v>391</v>
      </c>
      <c r="C80" s="255"/>
      <c r="D80" s="255"/>
      <c r="E80" s="255"/>
      <c r="F80" s="255"/>
      <c r="G80" s="255"/>
      <c r="H80" s="255"/>
      <c r="I80" s="255"/>
      <c r="J80" s="255"/>
      <c r="K80" s="1570"/>
      <c r="L80" s="1463">
        <f>SUM(C80:K80)</f>
        <v>0</v>
      </c>
      <c r="M80" s="169"/>
      <c r="N80" s="4"/>
      <c r="O80" s="4"/>
      <c r="P80" s="4"/>
      <c r="Q80" s="4"/>
      <c r="R80" s="4"/>
      <c r="S80" s="4"/>
      <c r="T80" s="4"/>
      <c r="AO80" s="4"/>
    </row>
    <row r="81" spans="1:41" ht="21.75" customHeight="1" x14ac:dyDescent="0.2">
      <c r="A81" s="443" t="s">
        <v>426</v>
      </c>
      <c r="B81" s="378" t="s">
        <v>433</v>
      </c>
      <c r="C81" s="517"/>
      <c r="D81" s="381"/>
      <c r="E81" s="381"/>
      <c r="F81" s="381"/>
      <c r="G81" s="381"/>
      <c r="H81" s="381"/>
      <c r="I81" s="381"/>
      <c r="J81" s="381"/>
      <c r="K81" s="1564"/>
      <c r="L81" s="1456"/>
      <c r="M81" s="536"/>
      <c r="N81" s="110"/>
      <c r="O81" s="110"/>
      <c r="P81" s="4"/>
      <c r="Q81" s="4"/>
      <c r="R81" s="4"/>
      <c r="S81" s="4"/>
      <c r="T81" s="4"/>
      <c r="AO81" s="4"/>
    </row>
    <row r="82" spans="1:41" s="369" customFormat="1" ht="15" customHeight="1" thickBot="1" x14ac:dyDescent="0.25">
      <c r="A82" s="518"/>
      <c r="B82" s="558" t="s">
        <v>392</v>
      </c>
      <c r="C82" s="560">
        <f>SUM('5.a.sz. melléklet'!C99+'14.sz.melléklet'!C42)</f>
        <v>32798</v>
      </c>
      <c r="D82" s="559"/>
      <c r="E82" s="559">
        <f>SUM('5.a.sz. melléklet'!E99)</f>
        <v>22168</v>
      </c>
      <c r="F82" s="559"/>
      <c r="G82" s="559"/>
      <c r="H82" s="559"/>
      <c r="I82" s="559"/>
      <c r="J82" s="559"/>
      <c r="K82" s="1565"/>
      <c r="L82" s="1457">
        <f>SUM(C82:K82)</f>
        <v>54966</v>
      </c>
      <c r="M82" s="536"/>
      <c r="N82" s="110"/>
      <c r="O82" s="1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0.2" customHeight="1" x14ac:dyDescent="0.2">
      <c r="A83" s="1517"/>
      <c r="B83" s="533" t="s">
        <v>393</v>
      </c>
      <c r="C83" s="1518"/>
      <c r="D83" s="515"/>
      <c r="E83" s="515"/>
      <c r="F83" s="515"/>
      <c r="G83" s="515"/>
      <c r="H83" s="515"/>
      <c r="I83" s="515"/>
      <c r="J83" s="515"/>
      <c r="K83" s="1566"/>
      <c r="L83" s="1456">
        <f>SUM(C83:K83)</f>
        <v>0</v>
      </c>
      <c r="M83" s="536"/>
      <c r="N83" s="110"/>
      <c r="O83" s="110"/>
      <c r="P83" s="4"/>
      <c r="Q83" s="4"/>
      <c r="R83" s="4"/>
      <c r="S83" s="4"/>
      <c r="T83" s="4"/>
      <c r="AO83" s="4"/>
    </row>
    <row r="84" spans="1:41" ht="0.2" customHeight="1" x14ac:dyDescent="0.2">
      <c r="A84" s="443"/>
      <c r="B84" s="378" t="s">
        <v>391</v>
      </c>
      <c r="C84" s="517"/>
      <c r="D84" s="381"/>
      <c r="E84" s="381"/>
      <c r="F84" s="381"/>
      <c r="G84" s="381"/>
      <c r="H84" s="381"/>
      <c r="I84" s="381"/>
      <c r="J84" s="381"/>
      <c r="K84" s="1564"/>
      <c r="L84" s="1456">
        <f>SUM(C84:K84)</f>
        <v>0</v>
      </c>
      <c r="M84" s="536"/>
      <c r="N84" s="110"/>
      <c r="O84" s="110"/>
      <c r="P84" s="4"/>
      <c r="Q84" s="4"/>
      <c r="R84" s="4"/>
      <c r="S84" s="4"/>
      <c r="T84" s="4"/>
      <c r="AO84" s="4"/>
    </row>
    <row r="85" spans="1:41" ht="14.25" customHeight="1" x14ac:dyDescent="0.2">
      <c r="A85" s="443" t="s">
        <v>593</v>
      </c>
      <c r="B85" s="378" t="s">
        <v>595</v>
      </c>
      <c r="C85" s="517"/>
      <c r="D85" s="381"/>
      <c r="E85" s="381"/>
      <c r="F85" s="381"/>
      <c r="G85" s="381"/>
      <c r="H85" s="381"/>
      <c r="I85" s="381"/>
      <c r="J85" s="381"/>
      <c r="K85" s="1564"/>
      <c r="L85" s="1456"/>
      <c r="M85" s="536"/>
      <c r="N85" s="110"/>
      <c r="O85" s="110"/>
      <c r="P85" s="4"/>
      <c r="Q85" s="4"/>
      <c r="R85" s="4"/>
      <c r="S85" s="4"/>
      <c r="T85" s="4"/>
      <c r="AO85" s="4"/>
    </row>
    <row r="86" spans="1:41" ht="14.25" customHeight="1" thickBot="1" x14ac:dyDescent="0.25">
      <c r="A86" s="518"/>
      <c r="B86" s="558" t="s">
        <v>392</v>
      </c>
      <c r="C86" s="560"/>
      <c r="D86" s="559"/>
      <c r="E86" s="559">
        <f>SUM('5.a.sz. melléklet'!E103)</f>
        <v>225</v>
      </c>
      <c r="F86" s="559"/>
      <c r="G86" s="559"/>
      <c r="H86" s="559"/>
      <c r="I86" s="559"/>
      <c r="J86" s="559"/>
      <c r="K86" s="1565"/>
      <c r="L86" s="1794">
        <f>SUM(C86:K86)</f>
        <v>225</v>
      </c>
      <c r="M86" s="536"/>
      <c r="N86" s="110"/>
      <c r="O86" s="110"/>
      <c r="P86" s="4"/>
      <c r="Q86" s="4"/>
      <c r="R86" s="4"/>
      <c r="S86" s="4"/>
      <c r="T86" s="4"/>
      <c r="AO86" s="4"/>
    </row>
    <row r="87" spans="1:41" ht="15" customHeight="1" x14ac:dyDescent="0.2">
      <c r="A87" s="1451" t="s">
        <v>284</v>
      </c>
      <c r="B87" s="533" t="s">
        <v>117</v>
      </c>
      <c r="C87" s="515"/>
      <c r="D87" s="515"/>
      <c r="E87" s="515"/>
      <c r="F87" s="515"/>
      <c r="G87" s="515"/>
      <c r="H87" s="515"/>
      <c r="I87" s="515"/>
      <c r="J87" s="515"/>
      <c r="K87" s="1566"/>
      <c r="L87" s="1456"/>
      <c r="M87" s="536"/>
      <c r="N87" s="110"/>
      <c r="O87" s="110"/>
      <c r="P87" s="4"/>
      <c r="Q87" s="4"/>
      <c r="R87" s="4"/>
      <c r="S87" s="4"/>
      <c r="T87" s="4"/>
      <c r="AO87" s="4"/>
    </row>
    <row r="88" spans="1:41" s="369" customFormat="1" ht="15" customHeight="1" thickBot="1" x14ac:dyDescent="0.25">
      <c r="A88" s="1452"/>
      <c r="B88" s="558" t="s">
        <v>392</v>
      </c>
      <c r="C88" s="559"/>
      <c r="D88" s="559"/>
      <c r="E88" s="559"/>
      <c r="F88" s="559"/>
      <c r="G88" s="559"/>
      <c r="H88" s="559"/>
      <c r="I88" s="559"/>
      <c r="J88" s="559"/>
      <c r="K88" s="1565"/>
      <c r="L88" s="1461">
        <f>SUM(C88:K88)</f>
        <v>0</v>
      </c>
      <c r="M88" s="536"/>
      <c r="N88" s="110"/>
      <c r="O88" s="11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0.2" customHeight="1" x14ac:dyDescent="0.2">
      <c r="A89" s="1451"/>
      <c r="B89" s="533" t="s">
        <v>393</v>
      </c>
      <c r="C89" s="515"/>
      <c r="D89" s="515"/>
      <c r="E89" s="515"/>
      <c r="F89" s="515"/>
      <c r="G89" s="515"/>
      <c r="H89" s="515"/>
      <c r="I89" s="515"/>
      <c r="J89" s="515"/>
      <c r="K89" s="1566"/>
      <c r="L89" s="1456">
        <f>SUM(C89:K89)</f>
        <v>0</v>
      </c>
      <c r="M89" s="536"/>
      <c r="N89" s="110"/>
      <c r="O89" s="110"/>
      <c r="P89" s="4"/>
      <c r="Q89" s="4"/>
      <c r="R89" s="4"/>
      <c r="S89" s="4"/>
      <c r="T89" s="4"/>
      <c r="AO89" s="4"/>
    </row>
    <row r="90" spans="1:41" ht="0.2" customHeight="1" x14ac:dyDescent="0.2">
      <c r="A90" s="514"/>
      <c r="B90" s="378" t="s">
        <v>391</v>
      </c>
      <c r="C90" s="381"/>
      <c r="D90" s="381"/>
      <c r="E90" s="381"/>
      <c r="F90" s="381"/>
      <c r="G90" s="381"/>
      <c r="H90" s="381"/>
      <c r="I90" s="381"/>
      <c r="J90" s="381"/>
      <c r="K90" s="1564"/>
      <c r="L90" s="1460">
        <f>SUM(C90:K90)</f>
        <v>0</v>
      </c>
      <c r="M90" s="536"/>
      <c r="N90" s="110"/>
      <c r="O90" s="110"/>
      <c r="P90" s="4"/>
      <c r="Q90" s="4"/>
      <c r="R90" s="4"/>
      <c r="S90" s="4"/>
      <c r="T90" s="4"/>
      <c r="AO90" s="4"/>
    </row>
    <row r="91" spans="1:41" ht="15" customHeight="1" x14ac:dyDescent="0.2">
      <c r="A91" s="1140" t="s">
        <v>285</v>
      </c>
      <c r="B91" s="1137" t="s">
        <v>490</v>
      </c>
      <c r="C91" s="255"/>
      <c r="D91" s="1145"/>
      <c r="E91" s="1145"/>
      <c r="F91" s="1145"/>
      <c r="G91" s="1145"/>
      <c r="H91" s="1145"/>
      <c r="I91" s="1145"/>
      <c r="J91" s="1145"/>
      <c r="K91" s="1573"/>
      <c r="L91" s="1464"/>
      <c r="M91" s="169"/>
      <c r="N91" s="4"/>
      <c r="O91" s="4"/>
      <c r="P91" s="4"/>
      <c r="Q91" s="4"/>
      <c r="R91" s="4"/>
      <c r="S91" s="4"/>
      <c r="T91" s="4"/>
      <c r="AO91" s="4"/>
    </row>
    <row r="92" spans="1:41" s="369" customFormat="1" ht="15" customHeight="1" thickBot="1" x14ac:dyDescent="0.25">
      <c r="A92" s="1141"/>
      <c r="B92" s="1139" t="s">
        <v>392</v>
      </c>
      <c r="C92" s="631"/>
      <c r="D92" s="1360"/>
      <c r="E92" s="1360"/>
      <c r="F92" s="1360">
        <f>SUM('5.a.sz. melléklet'!F109)</f>
        <v>0</v>
      </c>
      <c r="G92" s="1360"/>
      <c r="H92" s="1360"/>
      <c r="I92" s="1360"/>
      <c r="J92" s="1360"/>
      <c r="K92" s="1574"/>
      <c r="L92" s="1529">
        <f>SUM(C92:K92)</f>
        <v>0</v>
      </c>
      <c r="M92" s="16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0.2" customHeight="1" x14ac:dyDescent="0.2">
      <c r="A93" s="1522"/>
      <c r="B93" s="1520" t="s">
        <v>393</v>
      </c>
      <c r="C93" s="1521"/>
      <c r="D93" s="1523"/>
      <c r="E93" s="1523"/>
      <c r="F93" s="1523"/>
      <c r="G93" s="1523"/>
      <c r="H93" s="1523"/>
      <c r="I93" s="1523"/>
      <c r="J93" s="1523"/>
      <c r="K93" s="1575"/>
      <c r="L93" s="1464">
        <f>SUM(C93:K93)</f>
        <v>0</v>
      </c>
      <c r="M93" s="169"/>
      <c r="N93" s="4"/>
      <c r="O93" s="4"/>
      <c r="P93" s="4"/>
      <c r="Q93" s="4"/>
      <c r="R93" s="4"/>
      <c r="S93" s="4"/>
      <c r="T93" s="4"/>
      <c r="AO93" s="4"/>
    </row>
    <row r="94" spans="1:41" ht="0.2" customHeight="1" x14ac:dyDescent="0.2">
      <c r="A94" s="1140"/>
      <c r="B94" s="1137" t="s">
        <v>391</v>
      </c>
      <c r="C94" s="255"/>
      <c r="D94" s="1145"/>
      <c r="E94" s="1145"/>
      <c r="F94" s="1145"/>
      <c r="G94" s="1145"/>
      <c r="H94" s="1145"/>
      <c r="I94" s="1145"/>
      <c r="J94" s="1145"/>
      <c r="K94" s="1573"/>
      <c r="L94" s="1465">
        <f>SUM(C94:K94)</f>
        <v>0</v>
      </c>
      <c r="M94" s="169"/>
      <c r="N94" s="4"/>
      <c r="O94" s="4"/>
      <c r="P94" s="4"/>
      <c r="Q94" s="4"/>
      <c r="R94" s="4"/>
      <c r="S94" s="4"/>
      <c r="T94" s="4"/>
      <c r="AO94" s="4"/>
    </row>
    <row r="95" spans="1:41" ht="24" customHeight="1" x14ac:dyDescent="0.2">
      <c r="A95" s="1140" t="s">
        <v>287</v>
      </c>
      <c r="B95" s="1137" t="s">
        <v>494</v>
      </c>
      <c r="C95" s="255"/>
      <c r="D95" s="1145"/>
      <c r="E95" s="1145"/>
      <c r="F95" s="1145"/>
      <c r="G95" s="1145"/>
      <c r="H95" s="1145"/>
      <c r="I95" s="1145"/>
      <c r="J95" s="1145"/>
      <c r="K95" s="1573"/>
      <c r="L95" s="1464"/>
      <c r="M95" s="169"/>
      <c r="N95" s="4"/>
      <c r="O95" s="4"/>
      <c r="P95" s="4"/>
      <c r="Q95" s="4"/>
      <c r="R95" s="4"/>
      <c r="S95" s="4"/>
      <c r="T95" s="4"/>
      <c r="AO95" s="4"/>
    </row>
    <row r="96" spans="1:41" s="369" customFormat="1" ht="15" customHeight="1" thickBot="1" x14ac:dyDescent="0.25">
      <c r="A96" s="1141"/>
      <c r="B96" s="1139" t="s">
        <v>392</v>
      </c>
      <c r="C96" s="631"/>
      <c r="D96" s="1360"/>
      <c r="E96" s="1360"/>
      <c r="F96" s="1360"/>
      <c r="G96" s="1360"/>
      <c r="H96" s="1360"/>
      <c r="I96" s="1360"/>
      <c r="J96" s="1360"/>
      <c r="K96" s="1574"/>
      <c r="L96" s="1529"/>
      <c r="M96" s="16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0.2" customHeight="1" x14ac:dyDescent="0.2">
      <c r="A97" s="1522"/>
      <c r="B97" s="1520" t="s">
        <v>393</v>
      </c>
      <c r="C97" s="1521"/>
      <c r="D97" s="1523"/>
      <c r="E97" s="1523"/>
      <c r="F97" s="1523"/>
      <c r="G97" s="1523"/>
      <c r="H97" s="1523"/>
      <c r="I97" s="1523"/>
      <c r="J97" s="1523"/>
      <c r="K97" s="1575"/>
      <c r="L97" s="1464">
        <f>SUM(E97:K97)</f>
        <v>0</v>
      </c>
      <c r="M97" s="169"/>
      <c r="N97" s="4"/>
      <c r="O97" s="4"/>
      <c r="P97" s="4"/>
      <c r="Q97" s="4"/>
      <c r="R97" s="4"/>
      <c r="S97" s="4"/>
      <c r="T97" s="4"/>
      <c r="AO97" s="4"/>
    </row>
    <row r="98" spans="1:41" ht="0.2" customHeight="1" x14ac:dyDescent="0.2">
      <c r="A98" s="1140"/>
      <c r="B98" s="1137" t="s">
        <v>391</v>
      </c>
      <c r="C98" s="255"/>
      <c r="D98" s="1145"/>
      <c r="E98" s="1145"/>
      <c r="F98" s="1145"/>
      <c r="G98" s="1145"/>
      <c r="H98" s="1145"/>
      <c r="I98" s="1145"/>
      <c r="J98" s="1145"/>
      <c r="K98" s="1573"/>
      <c r="L98" s="1465">
        <f>SUM(E98:K98)</f>
        <v>0</v>
      </c>
      <c r="M98" s="169"/>
      <c r="N98" s="4"/>
      <c r="O98" s="4"/>
      <c r="P98" s="4"/>
      <c r="Q98" s="4"/>
      <c r="R98" s="4"/>
      <c r="S98" s="4"/>
      <c r="T98" s="4"/>
      <c r="AO98" s="4"/>
    </row>
    <row r="99" spans="1:41" ht="15" customHeight="1" x14ac:dyDescent="0.2">
      <c r="A99" s="1140" t="s">
        <v>289</v>
      </c>
      <c r="B99" s="1137" t="s">
        <v>489</v>
      </c>
      <c r="C99" s="255"/>
      <c r="D99" s="1145"/>
      <c r="E99" s="1145"/>
      <c r="F99" s="1145"/>
      <c r="G99" s="1145"/>
      <c r="H99" s="1145"/>
      <c r="I99" s="1145"/>
      <c r="J99" s="1145"/>
      <c r="K99" s="1573"/>
      <c r="L99" s="1464"/>
      <c r="M99" s="169"/>
      <c r="N99" s="4"/>
      <c r="O99" s="4"/>
      <c r="P99" s="4"/>
      <c r="Q99" s="4"/>
      <c r="R99" s="4"/>
      <c r="S99" s="4"/>
      <c r="T99" s="4"/>
      <c r="AO99" s="4"/>
    </row>
    <row r="100" spans="1:41" s="369" customFormat="1" ht="15" customHeight="1" thickBot="1" x14ac:dyDescent="0.25">
      <c r="A100" s="1141"/>
      <c r="B100" s="1139" t="s">
        <v>392</v>
      </c>
      <c r="C100" s="631"/>
      <c r="D100" s="1360"/>
      <c r="E100" s="1360"/>
      <c r="F100" s="1360"/>
      <c r="G100" s="1360"/>
      <c r="H100" s="1360"/>
      <c r="I100" s="1360"/>
      <c r="J100" s="1360"/>
      <c r="K100" s="1574"/>
      <c r="L100" s="1529"/>
      <c r="M100" s="16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0.2" customHeight="1" x14ac:dyDescent="0.2">
      <c r="A101" s="1522"/>
      <c r="B101" s="1520" t="s">
        <v>393</v>
      </c>
      <c r="C101" s="1521"/>
      <c r="D101" s="1523"/>
      <c r="E101" s="1523"/>
      <c r="F101" s="1523"/>
      <c r="G101" s="1523"/>
      <c r="H101" s="1523"/>
      <c r="I101" s="1523"/>
      <c r="J101" s="1523"/>
      <c r="K101" s="1575"/>
      <c r="L101" s="1464">
        <f>SUM(E101:K101)</f>
        <v>0</v>
      </c>
      <c r="M101" s="169"/>
      <c r="N101" s="4"/>
      <c r="O101" s="4"/>
      <c r="P101" s="4"/>
      <c r="Q101" s="4"/>
      <c r="R101" s="4"/>
      <c r="S101" s="4"/>
      <c r="T101" s="4"/>
      <c r="AO101" s="4"/>
    </row>
    <row r="102" spans="1:41" ht="0.2" customHeight="1" x14ac:dyDescent="0.2">
      <c r="A102" s="1140"/>
      <c r="B102" s="1137" t="s">
        <v>391</v>
      </c>
      <c r="C102" s="255"/>
      <c r="D102" s="1145"/>
      <c r="E102" s="1145"/>
      <c r="F102" s="1145"/>
      <c r="G102" s="1145"/>
      <c r="H102" s="1145"/>
      <c r="I102" s="1145"/>
      <c r="J102" s="1145"/>
      <c r="K102" s="1573"/>
      <c r="L102" s="1465">
        <f>SUM(E102:K102)</f>
        <v>0</v>
      </c>
      <c r="M102" s="169"/>
      <c r="N102" s="4"/>
      <c r="O102" s="4"/>
      <c r="P102" s="4"/>
      <c r="Q102" s="4"/>
      <c r="R102" s="4"/>
      <c r="S102" s="4"/>
      <c r="T102" s="4"/>
      <c r="AO102" s="4"/>
    </row>
    <row r="103" spans="1:41" ht="15" customHeight="1" x14ac:dyDescent="0.2">
      <c r="A103" s="1140" t="s">
        <v>299</v>
      </c>
      <c r="B103" s="1137" t="s">
        <v>86</v>
      </c>
      <c r="C103" s="255"/>
      <c r="D103" s="1145"/>
      <c r="E103" s="1145"/>
      <c r="F103" s="1145"/>
      <c r="G103" s="1145"/>
      <c r="H103" s="1145"/>
      <c r="I103" s="1145"/>
      <c r="J103" s="1145"/>
      <c r="K103" s="1573"/>
      <c r="L103" s="1464"/>
      <c r="M103" s="169"/>
      <c r="N103" s="4"/>
      <c r="O103" s="4"/>
      <c r="P103" s="4"/>
      <c r="Q103" s="4"/>
      <c r="R103" s="4"/>
      <c r="S103" s="4"/>
      <c r="T103" s="4"/>
      <c r="AO103" s="4"/>
    </row>
    <row r="104" spans="1:41" s="369" customFormat="1" ht="15" customHeight="1" thickBot="1" x14ac:dyDescent="0.25">
      <c r="A104" s="1141"/>
      <c r="B104" s="1450" t="s">
        <v>392</v>
      </c>
      <c r="C104" s="631"/>
      <c r="D104" s="1360"/>
      <c r="E104" s="1360"/>
      <c r="F104" s="1360"/>
      <c r="G104" s="1360"/>
      <c r="H104" s="1360"/>
      <c r="I104" s="1360"/>
      <c r="J104" s="1360"/>
      <c r="K104" s="1574"/>
      <c r="L104" s="1529"/>
      <c r="M104" s="16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0.2" customHeight="1" x14ac:dyDescent="0.2">
      <c r="A105" s="1522"/>
      <c r="B105" s="1524" t="s">
        <v>393</v>
      </c>
      <c r="C105" s="1521"/>
      <c r="D105" s="1523"/>
      <c r="E105" s="1523">
        <v>165</v>
      </c>
      <c r="F105" s="1523"/>
      <c r="G105" s="1523"/>
      <c r="H105" s="1523"/>
      <c r="I105" s="1523"/>
      <c r="J105" s="1523"/>
      <c r="K105" s="1575"/>
      <c r="L105" s="1464">
        <f>SUM(E105:K105)</f>
        <v>165</v>
      </c>
      <c r="M105" s="169"/>
      <c r="N105" s="4"/>
      <c r="O105" s="4"/>
      <c r="P105" s="4"/>
      <c r="Q105" s="4"/>
      <c r="R105" s="4"/>
      <c r="S105" s="4"/>
      <c r="T105" s="4"/>
      <c r="AO105" s="4"/>
    </row>
    <row r="106" spans="1:41" ht="0.2" customHeight="1" x14ac:dyDescent="0.2">
      <c r="A106" s="427"/>
      <c r="B106" s="173" t="s">
        <v>391</v>
      </c>
      <c r="C106" s="255"/>
      <c r="D106" s="1145"/>
      <c r="E106" s="1145"/>
      <c r="F106" s="1145"/>
      <c r="G106" s="1145"/>
      <c r="H106" s="1145"/>
      <c r="I106" s="1145"/>
      <c r="J106" s="1145"/>
      <c r="K106" s="1573"/>
      <c r="L106" s="1465">
        <f>SUM(E106:K106)</f>
        <v>0</v>
      </c>
      <c r="M106" s="169"/>
      <c r="N106" s="4"/>
      <c r="O106" s="4"/>
      <c r="P106" s="4"/>
      <c r="Q106" s="4"/>
      <c r="R106" s="4"/>
      <c r="S106" s="4"/>
      <c r="T106" s="4"/>
      <c r="AO106" s="4"/>
    </row>
    <row r="107" spans="1:41" ht="8.25" customHeight="1" thickBot="1" x14ac:dyDescent="0.25">
      <c r="A107" s="518"/>
      <c r="B107" s="562"/>
      <c r="C107" s="559"/>
      <c r="D107" s="559"/>
      <c r="E107" s="559"/>
      <c r="F107" s="559"/>
      <c r="G107" s="559"/>
      <c r="H107" s="559"/>
      <c r="I107" s="559"/>
      <c r="J107" s="559"/>
      <c r="K107" s="1565"/>
      <c r="L107" s="1466"/>
      <c r="M107" s="536"/>
      <c r="N107" s="110"/>
      <c r="O107" s="110"/>
      <c r="P107" s="4"/>
      <c r="Q107" s="4"/>
      <c r="R107" s="4"/>
      <c r="S107" s="4"/>
      <c r="T107" s="4"/>
      <c r="AO107" s="4"/>
    </row>
    <row r="108" spans="1:41" s="162" customFormat="1" ht="39" thickBot="1" x14ac:dyDescent="0.25">
      <c r="A108" s="574"/>
      <c r="B108" s="575" t="s">
        <v>385</v>
      </c>
      <c r="C108" s="576"/>
      <c r="D108" s="576"/>
      <c r="E108" s="576"/>
      <c r="F108" s="576"/>
      <c r="G108" s="576"/>
      <c r="H108" s="576"/>
      <c r="I108" s="576"/>
      <c r="J108" s="576"/>
      <c r="K108" s="1134"/>
      <c r="L108" s="1467"/>
      <c r="M108" s="536"/>
      <c r="N108" s="520"/>
      <c r="O108" s="110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</row>
    <row r="109" spans="1:41" s="162" customFormat="1" ht="13.5" thickBot="1" x14ac:dyDescent="0.25">
      <c r="A109" s="577"/>
      <c r="B109" s="578" t="s">
        <v>392</v>
      </c>
      <c r="C109" s="579">
        <f>C6+C14+C22+C26+C30+C34+C38+C42+C46+C50+C54+C58+C62+C70+C82+C88+C66+C10</f>
        <v>80557</v>
      </c>
      <c r="D109" s="579">
        <f>D6+D14+D22+D26+D30+D34+D38+D42+D46+D50+D54+D58+D62+D70+D82+D88</f>
        <v>543532</v>
      </c>
      <c r="E109" s="579">
        <f>SUM(E104+E100+E96+E92+E88+E86+E82+E78+E74+E70+E66+E62+E58+E54+E50+E46+E42+E38+E34+E30+E26+E22+E18+E14+E10+E6)</f>
        <v>113279</v>
      </c>
      <c r="F109" s="579">
        <f t="shared" ref="F109:G109" si="0">F6+F14+F22+F26+F30+F34+F38+F42+F46+F50+F54+F58+F62+F70+F82+F88</f>
        <v>9980</v>
      </c>
      <c r="G109" s="579">
        <f t="shared" si="0"/>
        <v>240017</v>
      </c>
      <c r="H109" s="579">
        <f>H6+H14+H22+H26+H30+H34+H38+H42+H46+H50+H54+H58+H62+H70+H82+H88+H10</f>
        <v>0</v>
      </c>
      <c r="I109" s="579">
        <f>I6+I14+I22+I26+I30+I34+I38+I42+I46+I50+I54+I58+I62+I70+I82+I88</f>
        <v>30430</v>
      </c>
      <c r="J109" s="579">
        <f>J6+J14+J22+J26+J30+J34+J38+J42+J46+J50+J54+J58+J62+J70+J82+J88</f>
        <v>350000</v>
      </c>
      <c r="K109" s="1135">
        <f>K6+K14+K22+K26+K30+K34+K38+K42+K46+K50+K54+K58+K62+K70+K82+K88</f>
        <v>100000</v>
      </c>
      <c r="L109" s="1468">
        <f>SUM(L104+L100+L96+L92+L88+L86+L82+L78+L74+L70+L66+L62+L58+L54+L50+L46+L42+L38+L34+L30+L26+L22+L18+L14+L10+L6)</f>
        <v>1467795</v>
      </c>
      <c r="M109" s="1611">
        <f>SUM(C109:K109)</f>
        <v>1467795</v>
      </c>
      <c r="N109" s="520"/>
      <c r="O109" s="110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</row>
    <row r="110" spans="1:41" s="162" customFormat="1" ht="0.2" customHeight="1" thickBot="1" x14ac:dyDescent="0.25">
      <c r="A110" s="577"/>
      <c r="B110" s="578" t="s">
        <v>393</v>
      </c>
      <c r="C110" s="579">
        <f>C7+C15+C23+C27+C31+C35+C39+C43+C47+C51+C55+C59+C63+C71+C83+C89+C67+C11</f>
        <v>0</v>
      </c>
      <c r="D110" s="579">
        <f>D7+D15+D23+D27+D31+D35+D39+D43+D47+D51+D55+D59+D63+D71+D83+D89</f>
        <v>0</v>
      </c>
      <c r="E110" s="579">
        <f>E7+E15+E23+E27+E31+E35+E39+E43+E47+E51+E55+E59+E63+E71+E83+E89+E105+E101+E97+E93+E75+E79+E11</f>
        <v>165</v>
      </c>
      <c r="F110" s="579">
        <f>F7+F15+F23+F27+F31+F35+F39+F43+F47+F51+F55+F59+F63+F71+F83+F89+F93</f>
        <v>0</v>
      </c>
      <c r="G110" s="579">
        <f>G7+G15+G23+G27+G31+G35+G39+G43+G47+G51+G55+G59+G63+G71+G83+G89</f>
        <v>0</v>
      </c>
      <c r="H110" s="579">
        <f>SUM(H15+H11)</f>
        <v>0</v>
      </c>
      <c r="I110" s="579">
        <f>I7+I15+I23+I27+I31+I35+I39+I43+I47+I51+I55+I59+I63+I71+I83+I89</f>
        <v>0</v>
      </c>
      <c r="J110" s="579">
        <f>J7+J15+J23+J27+J31+J35+J39+J43+J47+J51+J55+J59+J63+J71+J83+J89</f>
        <v>0</v>
      </c>
      <c r="K110" s="1135">
        <f>K7+K15+K23+K27+K31+K35+K39+K43+K47+K51+K55+K59+K63+K71+K83+K89+K11</f>
        <v>0</v>
      </c>
      <c r="L110" s="1468">
        <f>L7+L15+L23+L27+L31+L35+L39+L43+L47+L51+L55+L59+L63+L71+L83+L89+L11+L67+L105+L101+L97+L93+L79+L75</f>
        <v>165</v>
      </c>
      <c r="M110" s="1611"/>
      <c r="N110" s="520"/>
      <c r="O110" s="110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</row>
    <row r="111" spans="1:41" s="162" customFormat="1" ht="0.2" customHeight="1" thickBot="1" x14ac:dyDescent="0.25">
      <c r="A111" s="577"/>
      <c r="B111" s="578" t="s">
        <v>391</v>
      </c>
      <c r="C111" s="579">
        <f>C8+C16+C24+C28+C32+C36+C40+C44+C48+C52+C56+C60+C64+C72+C84+C90+C68+C12+C80</f>
        <v>0</v>
      </c>
      <c r="D111" s="579">
        <f>D8+D16+D24+D28+D32+D36+D40+D44+D48+D52+D56+D60+D64+D72+D84+D90++D12</f>
        <v>0</v>
      </c>
      <c r="E111" s="579">
        <f>E8+E16+E24+E28+E32+E36+E40+E44+E48+E52+E56+E60+E64+E72+E84+E90+E106+E102+E98+E94+E76+E80+E12</f>
        <v>0</v>
      </c>
      <c r="F111" s="579">
        <f>F8+F16+F24+F28+F32+F36+F40+F44+F48+F52+F56+F60+F64+F72+F84+F90+F94+F76+F20+F12</f>
        <v>0</v>
      </c>
      <c r="G111" s="579">
        <f>G8+G16+G24+G28+G32+G36+G40+G44+G48+G52+G56+G60+G64+G72+G84+G90+G12</f>
        <v>0</v>
      </c>
      <c r="H111" s="579">
        <f>SUM(H32+H12)</f>
        <v>0</v>
      </c>
      <c r="I111" s="579">
        <f>I8+I16+I24+I28+I32+I36+I40+I44+I48+I52+I56+I60+I64+I72+I84+I90</f>
        <v>0</v>
      </c>
      <c r="J111" s="579">
        <f>J8+J16+J24+J28+J32+J36+J40+J44+J48+J52+J56+J60+J64+J72+J84+J90</f>
        <v>0</v>
      </c>
      <c r="K111" s="1135">
        <f>K8+K16+K24+K28+K32+K36+K40+K44+K48+K52+K56+K60+K64+K72+K84+K90+K12</f>
        <v>0</v>
      </c>
      <c r="L111" s="1468">
        <f>L8+L16+L24+L28+L32+L36+L40+L44+L48+L52+L56+L60+L64+L72+L84+L90+L12+L68+L106+L102+L98+L94+L80+L76+L20</f>
        <v>0</v>
      </c>
      <c r="M111" s="1611"/>
      <c r="N111" s="520">
        <f>SUM(C111:K111)</f>
        <v>0</v>
      </c>
      <c r="O111" s="110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</row>
    <row r="112" spans="1:41" s="162" customFormat="1" ht="0.2" customHeight="1" thickBot="1" x14ac:dyDescent="0.25">
      <c r="A112" s="577"/>
      <c r="B112" s="578" t="s">
        <v>498</v>
      </c>
      <c r="C112" s="1251" t="e">
        <f>SUM(C111/C110)</f>
        <v>#DIV/0!</v>
      </c>
      <c r="D112" s="1251" t="e">
        <f t="shared" ref="D112:L112" si="1">SUM(D111/D110)</f>
        <v>#DIV/0!</v>
      </c>
      <c r="E112" s="1251">
        <f t="shared" si="1"/>
        <v>0</v>
      </c>
      <c r="F112" s="1251" t="e">
        <f t="shared" si="1"/>
        <v>#DIV/0!</v>
      </c>
      <c r="G112" s="1251" t="e">
        <f t="shared" si="1"/>
        <v>#DIV/0!</v>
      </c>
      <c r="H112" s="1251" t="e">
        <f t="shared" si="1"/>
        <v>#DIV/0!</v>
      </c>
      <c r="I112" s="1251" t="e">
        <f t="shared" si="1"/>
        <v>#DIV/0!</v>
      </c>
      <c r="J112" s="1251" t="e">
        <f t="shared" si="1"/>
        <v>#DIV/0!</v>
      </c>
      <c r="K112" s="1469" t="e">
        <f t="shared" si="1"/>
        <v>#DIV/0!</v>
      </c>
      <c r="L112" s="1601">
        <f t="shared" si="1"/>
        <v>0</v>
      </c>
      <c r="M112" s="1611"/>
      <c r="N112" s="520"/>
      <c r="O112" s="110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</row>
    <row r="113" spans="1:41" s="162" customFormat="1" ht="13.5" thickBot="1" x14ac:dyDescent="0.25">
      <c r="A113" s="583"/>
      <c r="B113" s="580"/>
      <c r="C113" s="581"/>
      <c r="D113" s="581"/>
      <c r="E113" s="581"/>
      <c r="F113" s="581"/>
      <c r="G113" s="581"/>
      <c r="H113" s="581"/>
      <c r="I113" s="581"/>
      <c r="J113" s="581"/>
      <c r="K113" s="582"/>
      <c r="L113" s="1602"/>
      <c r="M113" s="1611"/>
      <c r="N113" s="520"/>
      <c r="O113" s="110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</row>
    <row r="114" spans="1:41" s="162" customFormat="1" ht="16.5" customHeight="1" thickBot="1" x14ac:dyDescent="0.25">
      <c r="A114" s="1904" t="s">
        <v>382</v>
      </c>
      <c r="B114" s="1905"/>
      <c r="C114" s="1330"/>
      <c r="D114" s="1330"/>
      <c r="E114" s="1330"/>
      <c r="F114" s="1330"/>
      <c r="G114" s="1330"/>
      <c r="H114" s="1330"/>
      <c r="I114" s="1330"/>
      <c r="J114" s="1330"/>
      <c r="K114" s="1576"/>
      <c r="L114" s="1603"/>
      <c r="M114" s="536"/>
      <c r="N114" s="520"/>
      <c r="O114" s="110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</row>
    <row r="115" spans="1:41" ht="13.5" thickBot="1" x14ac:dyDescent="0.25">
      <c r="A115" s="928" t="s">
        <v>244</v>
      </c>
      <c r="B115" s="1331" t="s">
        <v>3</v>
      </c>
      <c r="C115" s="929"/>
      <c r="D115" s="929"/>
      <c r="E115" s="929"/>
      <c r="F115" s="929"/>
      <c r="G115" s="1332"/>
      <c r="H115" s="1333"/>
      <c r="I115" s="1333"/>
      <c r="J115" s="1333"/>
      <c r="K115" s="1577"/>
      <c r="L115" s="1604"/>
      <c r="M115" s="536"/>
      <c r="N115" s="110"/>
      <c r="O115" s="110"/>
      <c r="P115" s="4"/>
      <c r="Q115" s="4"/>
      <c r="R115" s="4"/>
      <c r="S115" s="4"/>
      <c r="T115" s="4"/>
      <c r="AO115" s="4"/>
    </row>
    <row r="116" spans="1:41" ht="13.5" thickBot="1" x14ac:dyDescent="0.25">
      <c r="A116" s="443"/>
      <c r="B116" s="378" t="s">
        <v>392</v>
      </c>
      <c r="C116" s="517">
        <f>SUM('13.sz.melléklet'!D26)</f>
        <v>14554</v>
      </c>
      <c r="D116" s="517">
        <f>SUM('13.sz.melléklet'!C26)</f>
        <v>100</v>
      </c>
      <c r="E116" s="517"/>
      <c r="F116" s="517"/>
      <c r="G116" s="561"/>
      <c r="H116" s="508"/>
      <c r="I116" s="508"/>
      <c r="J116" s="508"/>
      <c r="K116" s="1484"/>
      <c r="L116" s="1605">
        <f>SUM(C116:K116)</f>
        <v>14654</v>
      </c>
      <c r="M116" s="1798"/>
      <c r="N116" s="110"/>
      <c r="O116" s="110"/>
      <c r="P116" s="4"/>
      <c r="Q116" s="4"/>
      <c r="R116" s="4"/>
      <c r="S116" s="4"/>
      <c r="T116" s="4"/>
      <c r="AO116" s="4"/>
    </row>
    <row r="117" spans="1:41" ht="0.2" customHeight="1" thickBot="1" x14ac:dyDescent="0.25">
      <c r="A117" s="443"/>
      <c r="B117" s="378" t="s">
        <v>393</v>
      </c>
      <c r="C117" s="517">
        <f>SUM('13.sz.melléklet'!D80)</f>
        <v>14582</v>
      </c>
      <c r="D117" s="517">
        <f>SUM('13.sz.melléklet'!C27)</f>
        <v>100</v>
      </c>
      <c r="E117" s="517">
        <f>SUM('5.a.sz. melléklet'!E12)</f>
        <v>0</v>
      </c>
      <c r="F117" s="517"/>
      <c r="G117" s="561"/>
      <c r="H117" s="508"/>
      <c r="I117" s="508"/>
      <c r="J117" s="508"/>
      <c r="K117" s="1484"/>
      <c r="L117" s="1605">
        <f>SUM(C117:K117)</f>
        <v>14682</v>
      </c>
      <c r="M117" s="536"/>
      <c r="N117" s="110"/>
      <c r="O117" s="110"/>
      <c r="P117" s="4"/>
      <c r="Q117" s="4"/>
      <c r="R117" s="4"/>
      <c r="S117" s="4"/>
      <c r="T117" s="4"/>
      <c r="AO117" s="4"/>
    </row>
    <row r="118" spans="1:41" ht="0.2" customHeight="1" thickBot="1" x14ac:dyDescent="0.25">
      <c r="A118" s="518"/>
      <c r="B118" s="558" t="s">
        <v>391</v>
      </c>
      <c r="C118" s="560">
        <f>SUM('13.sz.melléklet'!D81)</f>
        <v>8790</v>
      </c>
      <c r="D118" s="560">
        <f>SUM('13.sz.melléklet'!C28)</f>
        <v>0</v>
      </c>
      <c r="E118" s="560">
        <f>SUM('5.a.sz. melléklet'!E13)</f>
        <v>0</v>
      </c>
      <c r="F118" s="560"/>
      <c r="G118" s="1334"/>
      <c r="H118" s="562"/>
      <c r="I118" s="562"/>
      <c r="J118" s="562">
        <v>-380</v>
      </c>
      <c r="K118" s="1578"/>
      <c r="L118" s="1605">
        <f>SUM(C118:K118)</f>
        <v>8410</v>
      </c>
      <c r="M118" s="536"/>
      <c r="N118" s="110"/>
      <c r="O118" s="110"/>
      <c r="P118" s="4"/>
      <c r="Q118" s="4"/>
      <c r="R118" s="4"/>
      <c r="S118" s="4"/>
      <c r="T118" s="4"/>
      <c r="AO118" s="4"/>
    </row>
    <row r="119" spans="1:41" s="162" customFormat="1" ht="40.5" customHeight="1" thickBot="1" x14ac:dyDescent="0.25">
      <c r="A119" s="574"/>
      <c r="B119" s="575" t="s">
        <v>496</v>
      </c>
      <c r="C119" s="576"/>
      <c r="D119" s="576"/>
      <c r="E119" s="576"/>
      <c r="F119" s="576"/>
      <c r="G119" s="576"/>
      <c r="H119" s="576"/>
      <c r="I119" s="576"/>
      <c r="J119" s="576"/>
      <c r="K119" s="1134"/>
      <c r="L119" s="1467"/>
      <c r="M119" s="536"/>
      <c r="N119" s="520"/>
      <c r="O119" s="110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20" spans="1:41" s="162" customFormat="1" ht="12" customHeight="1" x14ac:dyDescent="0.2">
      <c r="A120" s="584"/>
      <c r="B120" s="585" t="s">
        <v>392</v>
      </c>
      <c r="C120" s="586">
        <f t="shared" ref="C120:D122" si="2">C116</f>
        <v>14554</v>
      </c>
      <c r="D120" s="587">
        <f t="shared" si="2"/>
        <v>100</v>
      </c>
      <c r="E120" s="587"/>
      <c r="F120" s="587"/>
      <c r="G120" s="587"/>
      <c r="H120" s="587"/>
      <c r="I120" s="587"/>
      <c r="J120" s="587"/>
      <c r="K120" s="1796"/>
      <c r="L120" s="1606">
        <f>SUM(C120:K120)</f>
        <v>14654</v>
      </c>
      <c r="M120" s="1611">
        <f>SUM(C120:K120)</f>
        <v>14654</v>
      </c>
      <c r="N120" s="520"/>
      <c r="O120" s="110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</row>
    <row r="121" spans="1:41" s="162" customFormat="1" ht="0.2" customHeight="1" x14ac:dyDescent="0.2">
      <c r="A121" s="584"/>
      <c r="B121" s="589" t="s">
        <v>393</v>
      </c>
      <c r="C121" s="590">
        <f t="shared" si="2"/>
        <v>14582</v>
      </c>
      <c r="D121" s="590">
        <f t="shared" si="2"/>
        <v>100</v>
      </c>
      <c r="E121" s="590">
        <f>SUM(E117)</f>
        <v>0</v>
      </c>
      <c r="F121" s="590"/>
      <c r="G121" s="590"/>
      <c r="H121" s="590">
        <f>SUM(H117)</f>
        <v>0</v>
      </c>
      <c r="I121" s="590"/>
      <c r="J121" s="590"/>
      <c r="K121" s="1470"/>
      <c r="L121" s="1607">
        <f>SUM(C121:K121)</f>
        <v>14682</v>
      </c>
      <c r="M121" s="536"/>
      <c r="N121" s="520"/>
      <c r="O121" s="110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</row>
    <row r="122" spans="1:41" s="162" customFormat="1" ht="0.2" customHeight="1" x14ac:dyDescent="0.2">
      <c r="A122" s="584"/>
      <c r="B122" s="1249" t="s">
        <v>391</v>
      </c>
      <c r="C122" s="590">
        <f t="shared" si="2"/>
        <v>8790</v>
      </c>
      <c r="D122" s="590">
        <f t="shared" si="2"/>
        <v>0</v>
      </c>
      <c r="E122" s="590">
        <f>SUM(E118)</f>
        <v>0</v>
      </c>
      <c r="F122" s="590">
        <f>SUM(F118)</f>
        <v>0</v>
      </c>
      <c r="G122" s="590"/>
      <c r="H122" s="590">
        <f>SUM(H118)</f>
        <v>0</v>
      </c>
      <c r="I122" s="590"/>
      <c r="J122" s="590">
        <f>SUM(J118)</f>
        <v>-380</v>
      </c>
      <c r="K122" s="1470">
        <f>SUM(K118)</f>
        <v>0</v>
      </c>
      <c r="L122" s="1607">
        <f>SUM(L118)</f>
        <v>8410</v>
      </c>
      <c r="M122" s="1611">
        <f>SUM(C122:K122)</f>
        <v>8410</v>
      </c>
      <c r="N122" s="520"/>
      <c r="O122" s="110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</row>
    <row r="123" spans="1:41" s="162" customFormat="1" ht="0.2" customHeight="1" thickBot="1" x14ac:dyDescent="0.25">
      <c r="A123" s="591"/>
      <c r="B123" s="597" t="s">
        <v>498</v>
      </c>
      <c r="C123" s="1252">
        <f>SUM(C122/C121)</f>
        <v>0.60279797010012348</v>
      </c>
      <c r="D123" s="1252">
        <f t="shared" ref="D123:L123" si="3">SUM(D122/D121)</f>
        <v>0</v>
      </c>
      <c r="E123" s="1252" t="e">
        <f t="shared" si="3"/>
        <v>#DIV/0!</v>
      </c>
      <c r="F123" s="1252"/>
      <c r="G123" s="1252"/>
      <c r="H123" s="1252"/>
      <c r="I123" s="1252"/>
      <c r="J123" s="1252"/>
      <c r="K123" s="1471"/>
      <c r="L123" s="1608">
        <f t="shared" si="3"/>
        <v>0.57281024383598966</v>
      </c>
      <c r="M123" s="536"/>
      <c r="N123" s="520"/>
      <c r="O123" s="110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</row>
    <row r="124" spans="1:41" ht="6" customHeight="1" thickBot="1" x14ac:dyDescent="0.3">
      <c r="A124" s="523"/>
      <c r="B124" s="509"/>
      <c r="C124" s="524"/>
      <c r="D124" s="515"/>
      <c r="E124" s="515"/>
      <c r="F124" s="515"/>
      <c r="G124" s="515"/>
      <c r="H124" s="515"/>
      <c r="I124" s="515"/>
      <c r="J124" s="515"/>
      <c r="K124" s="1566"/>
      <c r="L124" s="1609"/>
      <c r="M124" s="1609"/>
      <c r="N124" s="525"/>
      <c r="O124" s="511"/>
      <c r="P124" s="367"/>
      <c r="AO124" s="4"/>
    </row>
    <row r="125" spans="1:41" ht="16.5" thickBot="1" x14ac:dyDescent="0.3">
      <c r="A125" s="1912" t="s">
        <v>187</v>
      </c>
      <c r="B125" s="1913"/>
      <c r="C125" s="1335"/>
      <c r="D125" s="465"/>
      <c r="E125" s="465"/>
      <c r="F125" s="465"/>
      <c r="G125" s="465"/>
      <c r="H125" s="465"/>
      <c r="I125" s="465"/>
      <c r="J125" s="465"/>
      <c r="K125" s="519"/>
      <c r="L125" s="1472"/>
      <c r="M125" s="1609"/>
      <c r="N125" s="525"/>
      <c r="O125" s="511"/>
      <c r="P125" s="367"/>
      <c r="AO125" s="4"/>
    </row>
    <row r="126" spans="1:41" ht="15.75" x14ac:dyDescent="0.25">
      <c r="A126" s="1338" t="s">
        <v>256</v>
      </c>
      <c r="B126" s="1339" t="s">
        <v>257</v>
      </c>
      <c r="C126" s="1340"/>
      <c r="D126" s="1341"/>
      <c r="E126" s="1341"/>
      <c r="F126" s="1341"/>
      <c r="G126" s="1341"/>
      <c r="H126" s="1341"/>
      <c r="I126" s="1341"/>
      <c r="J126" s="1341"/>
      <c r="K126" s="1579"/>
      <c r="L126" s="1473"/>
      <c r="M126" s="1609"/>
      <c r="N126" s="525"/>
      <c r="O126" s="511"/>
      <c r="P126" s="367"/>
      <c r="AO126" s="4"/>
    </row>
    <row r="127" spans="1:41" s="369" customFormat="1" ht="16.5" thickBot="1" x14ac:dyDescent="0.3">
      <c r="A127" s="1138"/>
      <c r="B127" s="1139" t="s">
        <v>392</v>
      </c>
      <c r="C127" s="1532">
        <f>SUM('16.sz. melléklet'!C30)</f>
        <v>300</v>
      </c>
      <c r="D127" s="1360"/>
      <c r="E127" s="1360"/>
      <c r="F127" s="1360"/>
      <c r="G127" s="1360"/>
      <c r="H127" s="1360"/>
      <c r="I127" s="1360"/>
      <c r="J127" s="1360"/>
      <c r="K127" s="1574"/>
      <c r="L127" s="1533">
        <f>SUM(C127:K127)</f>
        <v>300</v>
      </c>
      <c r="M127" s="1609"/>
      <c r="N127" s="525"/>
      <c r="O127" s="511"/>
      <c r="P127" s="367"/>
      <c r="Q127" s="194"/>
      <c r="R127" s="194"/>
      <c r="S127" s="194"/>
      <c r="T127" s="19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0.2" customHeight="1" x14ac:dyDescent="0.25">
      <c r="A128" s="1519"/>
      <c r="B128" s="1520" t="s">
        <v>393</v>
      </c>
      <c r="C128" s="1530"/>
      <c r="D128" s="1523"/>
      <c r="E128" s="1523"/>
      <c r="F128" s="1523"/>
      <c r="G128" s="1523"/>
      <c r="H128" s="1523"/>
      <c r="I128" s="1523"/>
      <c r="J128" s="1523"/>
      <c r="K128" s="1575"/>
      <c r="L128" s="1473">
        <f>SUM(C128:K128)</f>
        <v>0</v>
      </c>
      <c r="M128" s="1609"/>
      <c r="N128" s="525"/>
      <c r="O128" s="511"/>
      <c r="P128" s="367"/>
      <c r="AO128" s="4"/>
    </row>
    <row r="129" spans="1:41" ht="0.2" customHeight="1" x14ac:dyDescent="0.25">
      <c r="A129" s="1136"/>
      <c r="B129" s="1137" t="s">
        <v>391</v>
      </c>
      <c r="C129" s="1342"/>
      <c r="D129" s="1145"/>
      <c r="E129" s="1145"/>
      <c r="F129" s="1145"/>
      <c r="G129" s="1145"/>
      <c r="H129" s="1145"/>
      <c r="I129" s="1145"/>
      <c r="J129" s="1145"/>
      <c r="K129" s="1573"/>
      <c r="L129" s="1473">
        <f>SUM(C129:K129)</f>
        <v>0</v>
      </c>
      <c r="M129" s="1609"/>
      <c r="N129" s="525"/>
      <c r="O129" s="511"/>
      <c r="P129" s="367"/>
      <c r="AO129" s="4"/>
    </row>
    <row r="130" spans="1:41" s="1144" customFormat="1" ht="25.5" customHeight="1" x14ac:dyDescent="0.2">
      <c r="A130" s="1146" t="s">
        <v>246</v>
      </c>
      <c r="B130" s="1137" t="s">
        <v>134</v>
      </c>
      <c r="C130" s="1145"/>
      <c r="D130" s="1145"/>
      <c r="E130" s="1145"/>
      <c r="F130" s="1145"/>
      <c r="G130" s="1145"/>
      <c r="H130" s="1145"/>
      <c r="I130" s="1145"/>
      <c r="J130" s="1145"/>
      <c r="K130" s="1573"/>
      <c r="L130" s="1464"/>
      <c r="M130" s="1612"/>
      <c r="N130" s="1143"/>
      <c r="O130" s="1143"/>
      <c r="P130" s="1143"/>
      <c r="Q130" s="1143"/>
      <c r="R130" s="1143"/>
      <c r="S130" s="1143"/>
      <c r="T130" s="1143"/>
      <c r="U130" s="1143"/>
      <c r="V130" s="1143"/>
      <c r="W130" s="1143"/>
      <c r="X130" s="1143"/>
      <c r="Y130" s="1143"/>
      <c r="Z130" s="1143"/>
      <c r="AA130" s="1143"/>
      <c r="AB130" s="1143"/>
      <c r="AC130" s="1143"/>
      <c r="AD130" s="1143"/>
      <c r="AE130" s="1143"/>
      <c r="AF130" s="1143"/>
      <c r="AG130" s="1143"/>
      <c r="AH130" s="1143"/>
      <c r="AI130" s="1143"/>
      <c r="AJ130" s="1143"/>
      <c r="AK130" s="1143"/>
      <c r="AL130" s="1143"/>
      <c r="AM130" s="1143"/>
      <c r="AN130" s="1143"/>
      <c r="AO130" s="1143"/>
    </row>
    <row r="131" spans="1:41" s="1535" customFormat="1" ht="13.5" customHeight="1" thickBot="1" x14ac:dyDescent="0.25">
      <c r="A131" s="1534"/>
      <c r="B131" s="1139" t="s">
        <v>392</v>
      </c>
      <c r="C131" s="1360"/>
      <c r="D131" s="1360"/>
      <c r="E131" s="1360">
        <f>SUM('5.a.sz. melléklet'!E27)</f>
        <v>0</v>
      </c>
      <c r="F131" s="1360"/>
      <c r="G131" s="1360"/>
      <c r="H131" s="1360"/>
      <c r="I131" s="1360"/>
      <c r="J131" s="1360"/>
      <c r="K131" s="1574"/>
      <c r="L131" s="1529">
        <f>SUM(C131:K131)</f>
        <v>0</v>
      </c>
      <c r="M131" s="1612"/>
      <c r="N131" s="1143"/>
      <c r="O131" s="1143"/>
      <c r="P131" s="1143"/>
      <c r="Q131" s="1143"/>
      <c r="R131" s="1143"/>
      <c r="S131" s="1143"/>
      <c r="T131" s="1143"/>
      <c r="U131" s="1143"/>
      <c r="V131" s="1143"/>
      <c r="W131" s="1143"/>
      <c r="X131" s="1143"/>
      <c r="Y131" s="1143"/>
      <c r="Z131" s="1143"/>
      <c r="AA131" s="1143"/>
      <c r="AB131" s="1143"/>
      <c r="AC131" s="1143"/>
      <c r="AD131" s="1143"/>
      <c r="AE131" s="1143"/>
      <c r="AF131" s="1143"/>
      <c r="AG131" s="1143"/>
      <c r="AH131" s="1143"/>
      <c r="AI131" s="1143"/>
      <c r="AJ131" s="1143"/>
      <c r="AK131" s="1143"/>
      <c r="AL131" s="1143"/>
      <c r="AM131" s="1143"/>
      <c r="AN131" s="1143"/>
      <c r="AO131" s="1143"/>
    </row>
    <row r="132" spans="1:41" s="1144" customFormat="1" ht="0.2" customHeight="1" x14ac:dyDescent="0.2">
      <c r="A132" s="1531"/>
      <c r="B132" s="1520" t="s">
        <v>393</v>
      </c>
      <c r="C132" s="1523"/>
      <c r="D132" s="1523"/>
      <c r="E132" s="1523"/>
      <c r="F132" s="1523"/>
      <c r="G132" s="1523"/>
      <c r="H132" s="1523"/>
      <c r="I132" s="1523"/>
      <c r="J132" s="1523"/>
      <c r="K132" s="1575"/>
      <c r="L132" s="1464">
        <f>SUM(C132:K132)</f>
        <v>0</v>
      </c>
      <c r="M132" s="1612"/>
      <c r="N132" s="1143"/>
      <c r="O132" s="1143"/>
      <c r="P132" s="1143"/>
      <c r="Q132" s="1143"/>
      <c r="R132" s="1143"/>
      <c r="S132" s="1143"/>
      <c r="T132" s="1143"/>
      <c r="U132" s="1143"/>
      <c r="V132" s="1143"/>
      <c r="W132" s="1143"/>
      <c r="X132" s="1143"/>
      <c r="Y132" s="1143"/>
      <c r="Z132" s="1143"/>
      <c r="AA132" s="1143"/>
      <c r="AB132" s="1143"/>
      <c r="AC132" s="1143"/>
      <c r="AD132" s="1143"/>
      <c r="AE132" s="1143"/>
      <c r="AF132" s="1143"/>
      <c r="AG132" s="1143"/>
      <c r="AH132" s="1143"/>
      <c r="AI132" s="1143"/>
      <c r="AJ132" s="1143"/>
      <c r="AK132" s="1143"/>
      <c r="AL132" s="1143"/>
      <c r="AM132" s="1143"/>
      <c r="AN132" s="1143"/>
      <c r="AO132" s="1143"/>
    </row>
    <row r="133" spans="1:41" s="1144" customFormat="1" ht="0.2" customHeight="1" x14ac:dyDescent="0.2">
      <c r="A133" s="1146"/>
      <c r="B133" s="1137" t="s">
        <v>391</v>
      </c>
      <c r="C133" s="1145"/>
      <c r="D133" s="1145"/>
      <c r="E133" s="1145"/>
      <c r="F133" s="1145"/>
      <c r="G133" s="1145"/>
      <c r="H133" s="1145"/>
      <c r="I133" s="1145"/>
      <c r="J133" s="1145"/>
      <c r="K133" s="1573"/>
      <c r="L133" s="1465">
        <f>SUM(C133:K133)</f>
        <v>0</v>
      </c>
      <c r="M133" s="1612"/>
      <c r="N133" s="1143"/>
      <c r="O133" s="1143"/>
      <c r="P133" s="1143"/>
      <c r="Q133" s="1143"/>
      <c r="R133" s="1143"/>
      <c r="S133" s="1143"/>
      <c r="T133" s="1143"/>
      <c r="U133" s="1143"/>
      <c r="V133" s="1143"/>
      <c r="W133" s="1143"/>
      <c r="X133" s="1143"/>
      <c r="Y133" s="1143"/>
      <c r="Z133" s="1143"/>
      <c r="AA133" s="1143"/>
      <c r="AB133" s="1143"/>
      <c r="AC133" s="1143"/>
      <c r="AD133" s="1143"/>
      <c r="AE133" s="1143"/>
      <c r="AF133" s="1143"/>
      <c r="AG133" s="1143"/>
      <c r="AH133" s="1143"/>
      <c r="AI133" s="1143"/>
      <c r="AJ133" s="1143"/>
      <c r="AK133" s="1143"/>
      <c r="AL133" s="1143"/>
      <c r="AM133" s="1143"/>
      <c r="AN133" s="1143"/>
      <c r="AO133" s="1143"/>
    </row>
    <row r="134" spans="1:41" s="1144" customFormat="1" ht="21" customHeight="1" x14ac:dyDescent="0.2">
      <c r="A134" s="1146" t="s">
        <v>258</v>
      </c>
      <c r="B134" s="1137" t="s">
        <v>491</v>
      </c>
      <c r="C134" s="1145"/>
      <c r="D134" s="1145"/>
      <c r="E134" s="1145"/>
      <c r="F134" s="1145"/>
      <c r="G134" s="1145"/>
      <c r="H134" s="1145"/>
      <c r="I134" s="1145"/>
      <c r="J134" s="1145"/>
      <c r="K134" s="1573"/>
      <c r="L134" s="1464"/>
      <c r="M134" s="1612"/>
      <c r="N134" s="1143"/>
      <c r="O134" s="1143"/>
      <c r="P134" s="1143"/>
      <c r="Q134" s="1143"/>
      <c r="R134" s="1143"/>
      <c r="S134" s="1143"/>
      <c r="T134" s="1143"/>
      <c r="U134" s="1143"/>
      <c r="V134" s="1143"/>
      <c r="W134" s="1143"/>
      <c r="X134" s="1143"/>
      <c r="Y134" s="1143"/>
      <c r="Z134" s="1143"/>
      <c r="AA134" s="1143"/>
      <c r="AB134" s="1143"/>
      <c r="AC134" s="1143"/>
      <c r="AD134" s="1143"/>
      <c r="AE134" s="1143"/>
      <c r="AF134" s="1143"/>
      <c r="AG134" s="1143"/>
      <c r="AH134" s="1143"/>
      <c r="AI134" s="1143"/>
      <c r="AJ134" s="1143"/>
      <c r="AK134" s="1143"/>
      <c r="AL134" s="1143"/>
      <c r="AM134" s="1143"/>
      <c r="AN134" s="1143"/>
      <c r="AO134" s="1143"/>
    </row>
    <row r="135" spans="1:41" s="1535" customFormat="1" ht="13.5" customHeight="1" thickBot="1" x14ac:dyDescent="0.25">
      <c r="A135" s="1534"/>
      <c r="B135" s="1139" t="s">
        <v>392</v>
      </c>
      <c r="C135" s="1360"/>
      <c r="D135" s="1360"/>
      <c r="E135" s="1360"/>
      <c r="F135" s="1360">
        <f>SUM('5.a.sz. melléklet'!F31)</f>
        <v>1905</v>
      </c>
      <c r="G135" s="1360"/>
      <c r="H135" s="1360"/>
      <c r="I135" s="1360"/>
      <c r="J135" s="1360"/>
      <c r="K135" s="1574"/>
      <c r="L135" s="1529">
        <f>SUM(C135:K135)</f>
        <v>1905</v>
      </c>
      <c r="M135" s="1612"/>
      <c r="N135" s="1143"/>
      <c r="O135" s="1143"/>
      <c r="P135" s="1143"/>
      <c r="Q135" s="1143"/>
      <c r="R135" s="1143"/>
      <c r="S135" s="1143"/>
      <c r="T135" s="1143"/>
      <c r="U135" s="1143"/>
      <c r="V135" s="1143"/>
      <c r="W135" s="1143"/>
      <c r="X135" s="1143"/>
      <c r="Y135" s="1143"/>
      <c r="Z135" s="1143"/>
      <c r="AA135" s="1143"/>
      <c r="AB135" s="1143"/>
      <c r="AC135" s="1143"/>
      <c r="AD135" s="1143"/>
      <c r="AE135" s="1143"/>
      <c r="AF135" s="1143"/>
      <c r="AG135" s="1143"/>
      <c r="AH135" s="1143"/>
      <c r="AI135" s="1143"/>
      <c r="AJ135" s="1143"/>
      <c r="AK135" s="1143"/>
      <c r="AL135" s="1143"/>
      <c r="AM135" s="1143"/>
      <c r="AN135" s="1143"/>
      <c r="AO135" s="1143"/>
    </row>
    <row r="136" spans="1:41" s="1144" customFormat="1" ht="0.2" customHeight="1" x14ac:dyDescent="0.2">
      <c r="A136" s="1531"/>
      <c r="B136" s="1520" t="s">
        <v>393</v>
      </c>
      <c r="C136" s="1523"/>
      <c r="D136" s="1523"/>
      <c r="E136" s="1523"/>
      <c r="F136" s="1523"/>
      <c r="G136" s="1523"/>
      <c r="H136" s="1523"/>
      <c r="I136" s="1523"/>
      <c r="J136" s="1523"/>
      <c r="K136" s="1575"/>
      <c r="L136" s="1464">
        <f>SUM(F136:K136)</f>
        <v>0</v>
      </c>
      <c r="M136" s="1612"/>
      <c r="N136" s="1143"/>
      <c r="O136" s="1143"/>
      <c r="P136" s="1143"/>
      <c r="Q136" s="1143"/>
      <c r="R136" s="1143"/>
      <c r="S136" s="1143"/>
      <c r="T136" s="1143"/>
      <c r="U136" s="1143"/>
      <c r="V136" s="1143"/>
      <c r="W136" s="1143"/>
      <c r="X136" s="1143"/>
      <c r="Y136" s="1143"/>
      <c r="Z136" s="1143"/>
      <c r="AA136" s="1143"/>
      <c r="AB136" s="1143"/>
      <c r="AC136" s="1143"/>
      <c r="AD136" s="1143"/>
      <c r="AE136" s="1143"/>
      <c r="AF136" s="1143"/>
      <c r="AG136" s="1143"/>
      <c r="AH136" s="1143"/>
      <c r="AI136" s="1143"/>
      <c r="AJ136" s="1143"/>
      <c r="AK136" s="1143"/>
      <c r="AL136" s="1143"/>
      <c r="AM136" s="1143"/>
      <c r="AN136" s="1143"/>
      <c r="AO136" s="1143"/>
    </row>
    <row r="137" spans="1:41" s="1144" customFormat="1" ht="0.2" customHeight="1" x14ac:dyDescent="0.2">
      <c r="A137" s="1146"/>
      <c r="B137" s="1137" t="s">
        <v>391</v>
      </c>
      <c r="C137" s="1145"/>
      <c r="D137" s="1145"/>
      <c r="E137" s="1145"/>
      <c r="F137" s="1145"/>
      <c r="G137" s="1145"/>
      <c r="H137" s="1145"/>
      <c r="I137" s="1145"/>
      <c r="J137" s="1145"/>
      <c r="K137" s="1573"/>
      <c r="L137" s="1465">
        <f>SUM(F137:K137)</f>
        <v>0</v>
      </c>
      <c r="M137" s="1612"/>
      <c r="N137" s="1143"/>
      <c r="O137" s="1143"/>
      <c r="P137" s="1143"/>
      <c r="Q137" s="1143"/>
      <c r="R137" s="1143"/>
      <c r="S137" s="1143"/>
      <c r="T137" s="1143"/>
      <c r="U137" s="1143"/>
      <c r="V137" s="1143"/>
      <c r="W137" s="1143"/>
      <c r="X137" s="1143"/>
      <c r="Y137" s="1143"/>
      <c r="Z137" s="1143"/>
      <c r="AA137" s="1143"/>
      <c r="AB137" s="1143"/>
      <c r="AC137" s="1143"/>
      <c r="AD137" s="1143"/>
      <c r="AE137" s="1143"/>
      <c r="AF137" s="1143"/>
      <c r="AG137" s="1143"/>
      <c r="AH137" s="1143"/>
      <c r="AI137" s="1143"/>
      <c r="AJ137" s="1143"/>
      <c r="AK137" s="1143"/>
      <c r="AL137" s="1143"/>
      <c r="AM137" s="1143"/>
      <c r="AN137" s="1143"/>
      <c r="AO137" s="1143"/>
    </row>
    <row r="138" spans="1:41" ht="15" customHeight="1" x14ac:dyDescent="0.2">
      <c r="A138" s="1136" t="s">
        <v>266</v>
      </c>
      <c r="B138" s="1137" t="s">
        <v>267</v>
      </c>
      <c r="C138" s="1145"/>
      <c r="D138" s="1145"/>
      <c r="E138" s="1145"/>
      <c r="F138" s="1145"/>
      <c r="G138" s="1145"/>
      <c r="H138" s="1145"/>
      <c r="I138" s="1145"/>
      <c r="J138" s="1145"/>
      <c r="K138" s="1573"/>
      <c r="L138" s="1456"/>
      <c r="M138" s="536"/>
      <c r="N138" s="110"/>
      <c r="O138" s="110"/>
      <c r="P138" s="4"/>
      <c r="Q138" s="4"/>
      <c r="R138" s="4"/>
      <c r="S138" s="4"/>
      <c r="T138" s="4"/>
      <c r="AO138" s="4"/>
    </row>
    <row r="139" spans="1:41" s="369" customFormat="1" ht="15" customHeight="1" thickBot="1" x14ac:dyDescent="0.25">
      <c r="A139" s="1138"/>
      <c r="B139" s="1139" t="s">
        <v>392</v>
      </c>
      <c r="C139" s="1360"/>
      <c r="D139" s="1360">
        <f>SUM('5.a.sz. melléklet'!D35)</f>
        <v>4662</v>
      </c>
      <c r="E139" s="1360"/>
      <c r="F139" s="1360">
        <f>SUM('5.a.sz. melléklet'!F35)</f>
        <v>7320</v>
      </c>
      <c r="G139" s="1360"/>
      <c r="H139" s="1360"/>
      <c r="I139" s="1360"/>
      <c r="J139" s="1360"/>
      <c r="K139" s="1574"/>
      <c r="L139" s="1461">
        <f>SUM(C139:K139)</f>
        <v>11982</v>
      </c>
      <c r="M139" s="536"/>
      <c r="N139" s="110"/>
      <c r="O139" s="11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0.2" customHeight="1" x14ac:dyDescent="0.2">
      <c r="A140" s="1519"/>
      <c r="B140" s="1520" t="s">
        <v>393</v>
      </c>
      <c r="C140" s="1523"/>
      <c r="D140" s="1523"/>
      <c r="E140" s="1523"/>
      <c r="F140" s="1523"/>
      <c r="G140" s="1523"/>
      <c r="H140" s="1523"/>
      <c r="I140" s="1523"/>
      <c r="J140" s="1523"/>
      <c r="K140" s="1575"/>
      <c r="L140" s="1456">
        <f>SUM(C140:K140)</f>
        <v>0</v>
      </c>
      <c r="M140" s="536"/>
      <c r="N140" s="110"/>
      <c r="O140" s="110"/>
      <c r="P140" s="4"/>
      <c r="Q140" s="4"/>
      <c r="R140" s="4"/>
      <c r="S140" s="4"/>
      <c r="T140" s="4"/>
      <c r="AO140" s="4"/>
    </row>
    <row r="141" spans="1:41" ht="0.2" customHeight="1" x14ac:dyDescent="0.2">
      <c r="A141" s="1136"/>
      <c r="B141" s="1137" t="s">
        <v>391</v>
      </c>
      <c r="C141" s="1145"/>
      <c r="D141" s="1145"/>
      <c r="E141" s="1145"/>
      <c r="F141" s="1145"/>
      <c r="G141" s="1145"/>
      <c r="H141" s="1145"/>
      <c r="I141" s="1145"/>
      <c r="J141" s="1145"/>
      <c r="K141" s="1573"/>
      <c r="L141" s="1460">
        <f>SUM(C141:K141)</f>
        <v>0</v>
      </c>
      <c r="M141" s="536"/>
      <c r="N141" s="110"/>
      <c r="O141" s="110"/>
      <c r="P141" s="4"/>
      <c r="Q141" s="4"/>
      <c r="R141" s="4"/>
      <c r="S141" s="4"/>
      <c r="T141" s="4"/>
      <c r="AO141" s="4"/>
    </row>
    <row r="142" spans="1:41" ht="15" customHeight="1" x14ac:dyDescent="0.2">
      <c r="A142" s="1136" t="s">
        <v>268</v>
      </c>
      <c r="B142" s="1137" t="s">
        <v>269</v>
      </c>
      <c r="C142" s="1145"/>
      <c r="D142" s="1145"/>
      <c r="E142" s="1145"/>
      <c r="F142" s="1145"/>
      <c r="G142" s="1145"/>
      <c r="H142" s="1145"/>
      <c r="I142" s="1145"/>
      <c r="J142" s="1145"/>
      <c r="K142" s="1573"/>
      <c r="L142" s="1456"/>
      <c r="M142" s="536"/>
      <c r="N142" s="110"/>
      <c r="O142" s="110"/>
      <c r="P142" s="4"/>
      <c r="Q142" s="4"/>
      <c r="R142" s="4"/>
      <c r="S142" s="4"/>
      <c r="T142" s="4"/>
      <c r="AO142" s="4"/>
    </row>
    <row r="143" spans="1:41" s="369" customFormat="1" ht="15" customHeight="1" thickBot="1" x14ac:dyDescent="0.25">
      <c r="A143" s="1138"/>
      <c r="B143" s="1139" t="s">
        <v>392</v>
      </c>
      <c r="C143" s="1360">
        <f>SUM('5.a.sz. melléklet'!C39)</f>
        <v>900</v>
      </c>
      <c r="D143" s="1360"/>
      <c r="E143" s="1360"/>
      <c r="F143" s="1360"/>
      <c r="G143" s="1360"/>
      <c r="H143" s="1360"/>
      <c r="I143" s="1360"/>
      <c r="J143" s="1360"/>
      <c r="K143" s="1574"/>
      <c r="L143" s="1461">
        <f>SUM(C143:K143)</f>
        <v>900</v>
      </c>
      <c r="M143" s="536"/>
      <c r="N143" s="110"/>
      <c r="O143" s="110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0.2" customHeight="1" x14ac:dyDescent="0.2">
      <c r="A144" s="1519"/>
      <c r="B144" s="1520" t="s">
        <v>393</v>
      </c>
      <c r="C144" s="1523"/>
      <c r="D144" s="1523"/>
      <c r="E144" s="1523"/>
      <c r="F144" s="1523"/>
      <c r="G144" s="1523"/>
      <c r="H144" s="1523"/>
      <c r="I144" s="1523"/>
      <c r="J144" s="1523"/>
      <c r="K144" s="1575"/>
      <c r="L144" s="1456">
        <f>SUM(C144:K144)</f>
        <v>0</v>
      </c>
      <c r="M144" s="536"/>
      <c r="N144" s="110"/>
      <c r="O144" s="110"/>
      <c r="P144" s="4"/>
      <c r="Q144" s="4"/>
      <c r="R144" s="4"/>
      <c r="S144" s="4"/>
      <c r="T144" s="4"/>
      <c r="AO144" s="4"/>
    </row>
    <row r="145" spans="1:41" s="112" customFormat="1" ht="0.2" customHeight="1" x14ac:dyDescent="0.2">
      <c r="A145" s="1140"/>
      <c r="B145" s="1137" t="s">
        <v>391</v>
      </c>
      <c r="C145" s="1145"/>
      <c r="D145" s="1145"/>
      <c r="E145" s="1145"/>
      <c r="F145" s="1145"/>
      <c r="G145" s="1145"/>
      <c r="H145" s="1145"/>
      <c r="I145" s="1145"/>
      <c r="J145" s="1145"/>
      <c r="K145" s="1573"/>
      <c r="L145" s="1460">
        <f>SUM(C145:K145)</f>
        <v>0</v>
      </c>
      <c r="M145" s="1584"/>
      <c r="N145" s="469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</row>
    <row r="146" spans="1:41" s="112" customFormat="1" ht="25.5" x14ac:dyDescent="0.2">
      <c r="A146" s="1140" t="s">
        <v>315</v>
      </c>
      <c r="B146" s="1137" t="s">
        <v>316</v>
      </c>
      <c r="C146" s="1145"/>
      <c r="D146" s="1145"/>
      <c r="E146" s="1145"/>
      <c r="F146" s="1145"/>
      <c r="G146" s="1145"/>
      <c r="H146" s="1145"/>
      <c r="I146" s="1145"/>
      <c r="J146" s="1145"/>
      <c r="K146" s="1573"/>
      <c r="L146" s="1474"/>
      <c r="M146" s="1584"/>
      <c r="N146" s="469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</row>
    <row r="147" spans="1:41" s="1453" customFormat="1" ht="13.5" thickBot="1" x14ac:dyDescent="0.25">
      <c r="A147" s="1141"/>
      <c r="B147" s="1450" t="s">
        <v>392</v>
      </c>
      <c r="C147" s="1360"/>
      <c r="D147" s="1360"/>
      <c r="E147" s="1360"/>
      <c r="F147" s="1360"/>
      <c r="G147" s="1360"/>
      <c r="H147" s="1360"/>
      <c r="I147" s="1360"/>
      <c r="J147" s="1360"/>
      <c r="K147" s="1574"/>
      <c r="L147" s="1536"/>
      <c r="M147" s="1584"/>
      <c r="N147" s="469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</row>
    <row r="148" spans="1:41" s="112" customFormat="1" ht="0.2" customHeight="1" thickBot="1" x14ac:dyDescent="0.25">
      <c r="A148" s="1522"/>
      <c r="B148" s="1524" t="s">
        <v>393</v>
      </c>
      <c r="C148" s="1523"/>
      <c r="D148" s="1523"/>
      <c r="E148" s="1523"/>
      <c r="F148" s="1523"/>
      <c r="G148" s="1523"/>
      <c r="H148" s="1523"/>
      <c r="I148" s="1523"/>
      <c r="J148" s="1523"/>
      <c r="K148" s="1575"/>
      <c r="L148" s="1474"/>
      <c r="M148" s="1584"/>
      <c r="N148" s="469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</row>
    <row r="149" spans="1:41" s="112" customFormat="1" ht="0.2" customHeight="1" thickBot="1" x14ac:dyDescent="0.25">
      <c r="A149" s="1141"/>
      <c r="B149" s="1450" t="s">
        <v>391</v>
      </c>
      <c r="C149" s="1360">
        <v>39</v>
      </c>
      <c r="D149" s="1360"/>
      <c r="E149" s="1360"/>
      <c r="F149" s="1360"/>
      <c r="G149" s="1360"/>
      <c r="H149" s="1360"/>
      <c r="I149" s="1360"/>
      <c r="J149" s="1360"/>
      <c r="K149" s="1574"/>
      <c r="L149" s="1474">
        <f>SUM(C149:K149)</f>
        <v>39</v>
      </c>
      <c r="M149" s="1584"/>
      <c r="N149" s="469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</row>
    <row r="150" spans="1:41" ht="39" thickBot="1" x14ac:dyDescent="0.25">
      <c r="A150" s="593"/>
      <c r="B150" s="575" t="s">
        <v>386</v>
      </c>
      <c r="C150" s="579"/>
      <c r="D150" s="579"/>
      <c r="E150" s="579"/>
      <c r="F150" s="579"/>
      <c r="G150" s="579"/>
      <c r="H150" s="579"/>
      <c r="I150" s="579"/>
      <c r="J150" s="579"/>
      <c r="K150" s="1135"/>
      <c r="L150" s="1468"/>
      <c r="M150" s="1583"/>
      <c r="N150" s="525"/>
      <c r="O150" s="110"/>
      <c r="AO150" s="4"/>
    </row>
    <row r="151" spans="1:41" ht="13.5" thickBot="1" x14ac:dyDescent="0.25">
      <c r="A151" s="593"/>
      <c r="B151" s="594" t="s">
        <v>392</v>
      </c>
      <c r="C151" s="579">
        <f>C127+C139+C143</f>
        <v>1200</v>
      </c>
      <c r="D151" s="579">
        <f t="shared" ref="D151:K151" si="4">D127+D139+D143</f>
        <v>4662</v>
      </c>
      <c r="E151" s="579">
        <f t="shared" si="4"/>
        <v>0</v>
      </c>
      <c r="F151" s="579">
        <f>F127+F139+F143+F135+F131</f>
        <v>9225</v>
      </c>
      <c r="G151" s="579">
        <f t="shared" si="4"/>
        <v>0</v>
      </c>
      <c r="H151" s="579">
        <f t="shared" si="4"/>
        <v>0</v>
      </c>
      <c r="I151" s="579">
        <f t="shared" si="4"/>
        <v>0</v>
      </c>
      <c r="J151" s="579">
        <f t="shared" si="4"/>
        <v>0</v>
      </c>
      <c r="K151" s="1135">
        <f t="shared" si="4"/>
        <v>0</v>
      </c>
      <c r="L151" s="1468">
        <f>SUM(L147+L143+L139+L135+L131+L127)</f>
        <v>15087</v>
      </c>
      <c r="M151" s="1583">
        <f>SUM(C151:K151)</f>
        <v>15087</v>
      </c>
      <c r="N151" s="525"/>
      <c r="O151" s="110"/>
      <c r="AO151" s="4"/>
    </row>
    <row r="152" spans="1:41" ht="0.2" customHeight="1" thickBot="1" x14ac:dyDescent="0.25">
      <c r="A152" s="593"/>
      <c r="B152" s="594" t="s">
        <v>393</v>
      </c>
      <c r="C152" s="579">
        <f>C128+C140+C144</f>
        <v>0</v>
      </c>
      <c r="D152" s="579">
        <f>D128+D140+D144</f>
        <v>0</v>
      </c>
      <c r="E152" s="579">
        <f>E128+E140+E144+E132</f>
        <v>0</v>
      </c>
      <c r="F152" s="579">
        <f>F128+F140+F144+F136</f>
        <v>0</v>
      </c>
      <c r="G152" s="579">
        <f t="shared" ref="G152:K153" si="5">G128+G140+G144</f>
        <v>0</v>
      </c>
      <c r="H152" s="579">
        <f t="shared" si="5"/>
        <v>0</v>
      </c>
      <c r="I152" s="579">
        <f t="shared" si="5"/>
        <v>0</v>
      </c>
      <c r="J152" s="579">
        <f t="shared" si="5"/>
        <v>0</v>
      </c>
      <c r="K152" s="1135">
        <f t="shared" si="5"/>
        <v>0</v>
      </c>
      <c r="L152" s="1468">
        <f>L128+L140+L144+L136+L132</f>
        <v>0</v>
      </c>
      <c r="M152" s="1583"/>
      <c r="N152" s="525"/>
      <c r="O152" s="110"/>
      <c r="AO152" s="4"/>
    </row>
    <row r="153" spans="1:41" ht="0.2" customHeight="1" thickBot="1" x14ac:dyDescent="0.25">
      <c r="A153" s="593"/>
      <c r="B153" s="594" t="s">
        <v>391</v>
      </c>
      <c r="C153" s="579">
        <f>C129+C141+C145+C149</f>
        <v>39</v>
      </c>
      <c r="D153" s="579">
        <f>D129+D141+D145</f>
        <v>0</v>
      </c>
      <c r="E153" s="579">
        <f>E129+E141+E145+E133</f>
        <v>0</v>
      </c>
      <c r="F153" s="579">
        <f>F129+F141+F145+F137</f>
        <v>0</v>
      </c>
      <c r="G153" s="579">
        <f t="shared" si="5"/>
        <v>0</v>
      </c>
      <c r="H153" s="579">
        <f t="shared" si="5"/>
        <v>0</v>
      </c>
      <c r="I153" s="579">
        <f t="shared" si="5"/>
        <v>0</v>
      </c>
      <c r="J153" s="579">
        <f t="shared" si="5"/>
        <v>0</v>
      </c>
      <c r="K153" s="1135">
        <f t="shared" si="5"/>
        <v>0</v>
      </c>
      <c r="L153" s="1468">
        <f>L129+L141+L145+L137+L133+L149</f>
        <v>39</v>
      </c>
      <c r="M153" s="1583">
        <f>SUM(C153:K153)</f>
        <v>39</v>
      </c>
      <c r="N153" s="525"/>
      <c r="O153" s="110"/>
      <c r="AO153" s="4"/>
    </row>
    <row r="154" spans="1:41" ht="0.2" customHeight="1" thickBot="1" x14ac:dyDescent="0.25">
      <c r="A154" s="593"/>
      <c r="B154" s="594" t="s">
        <v>502</v>
      </c>
      <c r="C154" s="1251" t="e">
        <f>SUM(C153/C152)</f>
        <v>#DIV/0!</v>
      </c>
      <c r="D154" s="1251" t="e">
        <f t="shared" ref="D154:L154" si="6">SUM(D153/D152)</f>
        <v>#DIV/0!</v>
      </c>
      <c r="E154" s="1251" t="e">
        <f t="shared" si="6"/>
        <v>#DIV/0!</v>
      </c>
      <c r="F154" s="1251" t="e">
        <f t="shared" si="6"/>
        <v>#DIV/0!</v>
      </c>
      <c r="G154" s="1251"/>
      <c r="H154" s="1251"/>
      <c r="I154" s="1251"/>
      <c r="J154" s="1251"/>
      <c r="K154" s="1469"/>
      <c r="L154" s="1601" t="e">
        <f t="shared" si="6"/>
        <v>#DIV/0!</v>
      </c>
      <c r="M154" s="1583"/>
      <c r="N154" s="525"/>
      <c r="O154" s="110"/>
      <c r="AO154" s="4"/>
    </row>
    <row r="155" spans="1:41" ht="10.5" customHeight="1" thickBot="1" x14ac:dyDescent="0.25">
      <c r="A155" s="595"/>
      <c r="B155" s="596"/>
      <c r="C155" s="581"/>
      <c r="D155" s="581"/>
      <c r="E155" s="581"/>
      <c r="F155" s="581"/>
      <c r="G155" s="581"/>
      <c r="H155" s="581"/>
      <c r="I155" s="581"/>
      <c r="J155" s="581"/>
      <c r="K155" s="582"/>
      <c r="L155" s="1602"/>
      <c r="M155" s="1583"/>
      <c r="N155" s="525"/>
      <c r="O155" s="110"/>
      <c r="AO155" s="4"/>
    </row>
    <row r="156" spans="1:41" ht="25.5" customHeight="1" x14ac:dyDescent="0.2">
      <c r="A156" s="1908" t="s">
        <v>383</v>
      </c>
      <c r="B156" s="1909"/>
      <c r="C156" s="579"/>
      <c r="D156" s="579"/>
      <c r="E156" s="579"/>
      <c r="F156" s="579"/>
      <c r="G156" s="579"/>
      <c r="H156" s="579"/>
      <c r="I156" s="579"/>
      <c r="J156" s="579"/>
      <c r="K156" s="1135"/>
      <c r="L156" s="1468"/>
      <c r="M156" s="1583"/>
      <c r="N156" s="525"/>
      <c r="O156" s="110"/>
      <c r="AO156" s="4"/>
    </row>
    <row r="157" spans="1:41" ht="15.75" customHeight="1" thickBot="1" x14ac:dyDescent="0.25">
      <c r="A157" s="597"/>
      <c r="B157" s="598" t="s">
        <v>392</v>
      </c>
      <c r="C157" s="599">
        <f>C109+C120+C151</f>
        <v>96311</v>
      </c>
      <c r="D157" s="599">
        <f t="shared" ref="D157:L157" si="7">D109+D120+D151</f>
        <v>548294</v>
      </c>
      <c r="E157" s="599">
        <f t="shared" si="7"/>
        <v>113279</v>
      </c>
      <c r="F157" s="599">
        <f t="shared" si="7"/>
        <v>19205</v>
      </c>
      <c r="G157" s="599">
        <f t="shared" si="7"/>
        <v>240017</v>
      </c>
      <c r="H157" s="599">
        <f t="shared" si="7"/>
        <v>0</v>
      </c>
      <c r="I157" s="599">
        <f t="shared" si="7"/>
        <v>30430</v>
      </c>
      <c r="J157" s="599">
        <f t="shared" si="7"/>
        <v>350000</v>
      </c>
      <c r="K157" s="1475">
        <f t="shared" si="7"/>
        <v>100000</v>
      </c>
      <c r="L157" s="1610">
        <f t="shared" si="7"/>
        <v>1497536</v>
      </c>
      <c r="M157" s="1583">
        <f>SUM(C157:K157)</f>
        <v>1497536</v>
      </c>
      <c r="N157" s="525"/>
      <c r="O157" s="110"/>
      <c r="AO157" s="4"/>
    </row>
    <row r="158" spans="1:41" ht="0.2" customHeight="1" thickBot="1" x14ac:dyDescent="0.25">
      <c r="A158" s="600"/>
      <c r="B158" s="594" t="s">
        <v>393</v>
      </c>
      <c r="C158" s="599">
        <f>C110+C121+C152</f>
        <v>14582</v>
      </c>
      <c r="D158" s="599">
        <f t="shared" ref="D158:L158" si="8">D110+D121+D152</f>
        <v>100</v>
      </c>
      <c r="E158" s="599">
        <f t="shared" si="8"/>
        <v>165</v>
      </c>
      <c r="F158" s="599">
        <f t="shared" si="8"/>
        <v>0</v>
      </c>
      <c r="G158" s="599">
        <f t="shared" si="8"/>
        <v>0</v>
      </c>
      <c r="H158" s="599">
        <f t="shared" si="8"/>
        <v>0</v>
      </c>
      <c r="I158" s="599">
        <f t="shared" si="8"/>
        <v>0</v>
      </c>
      <c r="J158" s="599">
        <f t="shared" si="8"/>
        <v>0</v>
      </c>
      <c r="K158" s="599">
        <f t="shared" si="8"/>
        <v>0</v>
      </c>
      <c r="L158" s="1475">
        <f t="shared" si="8"/>
        <v>14847</v>
      </c>
      <c r="M158" s="1482">
        <v>1914676</v>
      </c>
      <c r="N158" s="525">
        <f>SUM(C158:K158)</f>
        <v>14847</v>
      </c>
      <c r="O158" s="110"/>
    </row>
    <row r="159" spans="1:41" ht="0.2" customHeight="1" thickBot="1" x14ac:dyDescent="0.25">
      <c r="A159" s="592"/>
      <c r="B159" s="601" t="s">
        <v>391</v>
      </c>
      <c r="C159" s="599">
        <f>C111+C122+C153</f>
        <v>8829</v>
      </c>
      <c r="D159" s="599">
        <f t="shared" ref="D159:L159" si="9">D111+D122+D153</f>
        <v>0</v>
      </c>
      <c r="E159" s="599">
        <f t="shared" si="9"/>
        <v>0</v>
      </c>
      <c r="F159" s="599">
        <f t="shared" si="9"/>
        <v>0</v>
      </c>
      <c r="G159" s="599">
        <f t="shared" si="9"/>
        <v>0</v>
      </c>
      <c r="H159" s="599">
        <f t="shared" si="9"/>
        <v>0</v>
      </c>
      <c r="I159" s="599">
        <f t="shared" si="9"/>
        <v>0</v>
      </c>
      <c r="J159" s="599">
        <f t="shared" si="9"/>
        <v>-380</v>
      </c>
      <c r="K159" s="599">
        <f t="shared" si="9"/>
        <v>0</v>
      </c>
      <c r="L159" s="1475">
        <f t="shared" si="9"/>
        <v>8449</v>
      </c>
      <c r="M159" s="1482">
        <f>SUM(C159:K159)</f>
        <v>8449</v>
      </c>
      <c r="N159" s="525">
        <v>1646507</v>
      </c>
      <c r="O159" s="110"/>
    </row>
    <row r="160" spans="1:41" ht="0.2" customHeight="1" thickBot="1" x14ac:dyDescent="0.25">
      <c r="A160" s="592"/>
      <c r="B160" s="601" t="s">
        <v>498</v>
      </c>
      <c r="C160" s="1252">
        <f>SUM(C159)/C158</f>
        <v>0.60547250034288846</v>
      </c>
      <c r="D160" s="1252">
        <f t="shared" ref="D160:L160" si="10">SUM(D159)/D158</f>
        <v>0</v>
      </c>
      <c r="E160" s="1252">
        <f t="shared" si="10"/>
        <v>0</v>
      </c>
      <c r="F160" s="1252" t="e">
        <f t="shared" si="10"/>
        <v>#DIV/0!</v>
      </c>
      <c r="G160" s="1252" t="e">
        <f t="shared" si="10"/>
        <v>#DIV/0!</v>
      </c>
      <c r="H160" s="1252" t="e">
        <f t="shared" si="10"/>
        <v>#DIV/0!</v>
      </c>
      <c r="I160" s="1252" t="e">
        <f t="shared" si="10"/>
        <v>#DIV/0!</v>
      </c>
      <c r="J160" s="1252" t="e">
        <f t="shared" si="10"/>
        <v>#DIV/0!</v>
      </c>
      <c r="K160" s="1252" t="e">
        <f t="shared" si="10"/>
        <v>#DIV/0!</v>
      </c>
      <c r="L160" s="1471">
        <f t="shared" si="10"/>
        <v>0.56907119283356911</v>
      </c>
      <c r="M160" s="1482"/>
      <c r="N160" s="525"/>
      <c r="O160" s="110"/>
    </row>
    <row r="161" spans="1:40" ht="13.5" thickBot="1" x14ac:dyDescent="0.25">
      <c r="A161" s="527"/>
      <c r="B161" s="528"/>
      <c r="C161" s="529"/>
      <c r="D161" s="526"/>
      <c r="E161" s="526"/>
      <c r="F161" s="526"/>
      <c r="G161" s="526"/>
      <c r="H161" s="526"/>
      <c r="I161" s="526"/>
      <c r="J161" s="526"/>
      <c r="K161" s="526"/>
      <c r="L161" s="526"/>
      <c r="M161" s="1482"/>
      <c r="N161" s="525"/>
      <c r="O161" s="110"/>
    </row>
    <row r="162" spans="1:40" s="102" customFormat="1" ht="62.25" customHeight="1" x14ac:dyDescent="0.2">
      <c r="A162" s="537" t="s">
        <v>238</v>
      </c>
      <c r="B162" s="538" t="s">
        <v>239</v>
      </c>
      <c r="C162" s="539" t="s">
        <v>10</v>
      </c>
      <c r="D162" s="540" t="s">
        <v>240</v>
      </c>
      <c r="E162" s="540" t="s">
        <v>109</v>
      </c>
      <c r="F162" s="540" t="s">
        <v>241</v>
      </c>
      <c r="G162" s="540" t="s">
        <v>129</v>
      </c>
      <c r="H162" s="540" t="s">
        <v>128</v>
      </c>
      <c r="I162" s="540" t="s">
        <v>242</v>
      </c>
      <c r="J162" s="540" t="s">
        <v>335</v>
      </c>
      <c r="K162" s="540" t="s">
        <v>110</v>
      </c>
      <c r="L162" s="1476" t="s">
        <v>148</v>
      </c>
      <c r="M162" s="540" t="s">
        <v>59</v>
      </c>
      <c r="N162" s="1613" t="s">
        <v>22</v>
      </c>
      <c r="O162" s="1628"/>
      <c r="P162" s="1496"/>
      <c r="Q162" s="1496"/>
      <c r="R162" s="1496"/>
      <c r="S162" s="1448"/>
      <c r="T162" s="1448"/>
      <c r="U162" s="1448"/>
      <c r="V162" s="1448"/>
      <c r="W162" s="1448"/>
      <c r="X162" s="1448"/>
      <c r="Y162" s="1448"/>
      <c r="Z162" s="1448"/>
      <c r="AA162" s="1448"/>
      <c r="AB162" s="1448"/>
      <c r="AC162" s="1448"/>
      <c r="AD162" s="1448"/>
      <c r="AE162" s="1448"/>
      <c r="AF162" s="1448"/>
      <c r="AG162" s="1448"/>
      <c r="AH162" s="1448"/>
      <c r="AI162" s="1448"/>
      <c r="AJ162" s="1448"/>
      <c r="AK162" s="1448"/>
      <c r="AL162" s="1448"/>
      <c r="AM162" s="1448"/>
      <c r="AN162" s="1448"/>
    </row>
    <row r="163" spans="1:40" ht="13.5" thickBot="1" x14ac:dyDescent="0.25">
      <c r="A163" s="1916" t="s">
        <v>184</v>
      </c>
      <c r="B163" s="1917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494"/>
      <c r="N163" s="110"/>
      <c r="O163" s="536"/>
      <c r="S163" s="4"/>
      <c r="T163" s="4"/>
    </row>
    <row r="164" spans="1:40" s="439" customFormat="1" ht="13.5" customHeight="1" x14ac:dyDescent="0.2">
      <c r="A164" s="1348" t="s">
        <v>244</v>
      </c>
      <c r="B164" s="1349" t="s">
        <v>3</v>
      </c>
      <c r="C164" s="1350"/>
      <c r="D164" s="1350"/>
      <c r="E164" s="1350"/>
      <c r="F164" s="1350"/>
      <c r="G164" s="1350"/>
      <c r="H164" s="1350"/>
      <c r="I164" s="1350"/>
      <c r="J164" s="1350"/>
      <c r="K164" s="1350"/>
      <c r="L164" s="1477"/>
      <c r="M164" s="1350"/>
      <c r="N164" s="1614">
        <f>SUM(C164:M164)</f>
        <v>0</v>
      </c>
      <c r="O164" s="1628"/>
      <c r="P164" s="467"/>
      <c r="Q164" s="467"/>
      <c r="R164" s="467"/>
      <c r="S164" s="467"/>
      <c r="T164" s="467"/>
      <c r="U164" s="467"/>
      <c r="V164" s="467"/>
      <c r="W164" s="467"/>
      <c r="X164" s="467"/>
      <c r="Y164" s="467"/>
      <c r="Z164" s="467"/>
      <c r="AA164" s="467"/>
      <c r="AB164" s="467"/>
      <c r="AC164" s="467"/>
      <c r="AD164" s="467"/>
      <c r="AE164" s="467"/>
      <c r="AF164" s="467"/>
      <c r="AG164" s="467"/>
      <c r="AH164" s="467"/>
      <c r="AI164" s="467"/>
      <c r="AJ164" s="467"/>
      <c r="AK164" s="467"/>
      <c r="AL164" s="467"/>
      <c r="AM164" s="467"/>
      <c r="AN164" s="467"/>
    </row>
    <row r="165" spans="1:40" s="1551" customFormat="1" ht="13.5" customHeight="1" thickBot="1" x14ac:dyDescent="0.25">
      <c r="A165" s="1548"/>
      <c r="B165" s="1139" t="s">
        <v>392</v>
      </c>
      <c r="C165" s="1549">
        <f>SUM('6. sz.melléklet'!C5:C6)</f>
        <v>21573</v>
      </c>
      <c r="D165" s="1549">
        <f>SUM('6. sz.melléklet'!D6)</f>
        <v>7463</v>
      </c>
      <c r="E165" s="1549">
        <f>SUM('6. sz.melléklet'!E6)</f>
        <v>24202</v>
      </c>
      <c r="F165" s="1549"/>
      <c r="G165" s="1549"/>
      <c r="H165" s="1549"/>
      <c r="I165" s="1549">
        <f>SUM('6. sz.melléklet'!I6)</f>
        <v>16223</v>
      </c>
      <c r="J165" s="1549"/>
      <c r="K165" s="1549"/>
      <c r="L165" s="1550"/>
      <c r="M165" s="1549"/>
      <c r="N165" s="1615">
        <f>SUM(C165:M165)</f>
        <v>69461</v>
      </c>
      <c r="O165" s="1628"/>
      <c r="P165" s="467"/>
      <c r="Q165" s="467"/>
      <c r="R165" s="467"/>
      <c r="S165" s="467"/>
      <c r="T165" s="467"/>
      <c r="U165" s="467"/>
      <c r="V165" s="467"/>
      <c r="W165" s="467"/>
      <c r="X165" s="467"/>
      <c r="Y165" s="467"/>
      <c r="Z165" s="467"/>
      <c r="AA165" s="467"/>
      <c r="AB165" s="467"/>
      <c r="AC165" s="467"/>
      <c r="AD165" s="467"/>
      <c r="AE165" s="467"/>
      <c r="AF165" s="467"/>
      <c r="AG165" s="467"/>
      <c r="AH165" s="467"/>
      <c r="AI165" s="467"/>
      <c r="AJ165" s="467"/>
      <c r="AK165" s="467"/>
      <c r="AL165" s="467"/>
      <c r="AM165" s="467"/>
      <c r="AN165" s="467"/>
    </row>
    <row r="166" spans="1:40" s="439" customFormat="1" ht="0.2" customHeight="1" x14ac:dyDescent="0.2">
      <c r="A166" s="1537"/>
      <c r="B166" s="1520" t="s">
        <v>393</v>
      </c>
      <c r="C166" s="1538"/>
      <c r="D166" s="1538"/>
      <c r="E166" s="1538"/>
      <c r="F166" s="1538"/>
      <c r="G166" s="1538"/>
      <c r="H166" s="1538"/>
      <c r="I166" s="1538"/>
      <c r="J166" s="1538"/>
      <c r="K166" s="1538"/>
      <c r="L166" s="1539"/>
      <c r="M166" s="1497"/>
      <c r="N166" s="1498">
        <f>SUM(C166:M166)</f>
        <v>0</v>
      </c>
      <c r="O166" s="1628"/>
      <c r="P166" s="467"/>
      <c r="Q166" s="467"/>
      <c r="R166" s="467"/>
      <c r="S166" s="467"/>
      <c r="T166" s="467"/>
      <c r="U166" s="467"/>
      <c r="V166" s="467"/>
      <c r="W166" s="467"/>
      <c r="X166" s="467"/>
      <c r="Y166" s="467"/>
      <c r="Z166" s="467"/>
      <c r="AA166" s="467"/>
      <c r="AB166" s="467"/>
      <c r="AC166" s="467"/>
      <c r="AD166" s="467"/>
      <c r="AE166" s="467"/>
      <c r="AF166" s="467"/>
      <c r="AG166" s="467"/>
      <c r="AH166" s="467"/>
      <c r="AI166" s="467"/>
      <c r="AJ166" s="467"/>
      <c r="AK166" s="467"/>
      <c r="AL166" s="467"/>
      <c r="AM166" s="467"/>
      <c r="AN166" s="467"/>
    </row>
    <row r="167" spans="1:40" s="439" customFormat="1" ht="0.2" customHeight="1" x14ac:dyDescent="0.2">
      <c r="A167" s="1351"/>
      <c r="B167" s="1137" t="s">
        <v>391</v>
      </c>
      <c r="C167" s="1352"/>
      <c r="D167" s="1352"/>
      <c r="E167" s="1352"/>
      <c r="F167" s="1352"/>
      <c r="G167" s="1352"/>
      <c r="H167" s="1352"/>
      <c r="I167" s="1352"/>
      <c r="J167" s="1352"/>
      <c r="K167" s="1352"/>
      <c r="L167" s="1478"/>
      <c r="M167" s="1497"/>
      <c r="N167" s="1498">
        <f>SUM(C167:M167)</f>
        <v>0</v>
      </c>
      <c r="O167" s="1628"/>
      <c r="P167" s="467"/>
      <c r="Q167" s="467"/>
      <c r="R167" s="467"/>
      <c r="S167" s="467"/>
      <c r="T167" s="467"/>
      <c r="U167" s="467"/>
      <c r="V167" s="467"/>
      <c r="W167" s="467"/>
      <c r="X167" s="467"/>
      <c r="Y167" s="467"/>
      <c r="Z167" s="467"/>
      <c r="AA167" s="467"/>
      <c r="AB167" s="467"/>
      <c r="AC167" s="467"/>
      <c r="AD167" s="467"/>
      <c r="AE167" s="467"/>
      <c r="AF167" s="467"/>
      <c r="AG167" s="467"/>
      <c r="AH167" s="467"/>
      <c r="AI167" s="467"/>
      <c r="AJ167" s="467"/>
      <c r="AK167" s="467"/>
      <c r="AL167" s="467"/>
      <c r="AM167" s="467"/>
      <c r="AN167" s="467"/>
    </row>
    <row r="168" spans="1:40" s="439" customFormat="1" ht="18.75" customHeight="1" x14ac:dyDescent="0.2">
      <c r="A168" s="1136" t="s">
        <v>245</v>
      </c>
      <c r="B168" s="1137" t="s">
        <v>116</v>
      </c>
      <c r="C168" s="1352"/>
      <c r="D168" s="1352"/>
      <c r="E168" s="1352"/>
      <c r="F168" s="1352"/>
      <c r="G168" s="1352"/>
      <c r="H168" s="1352"/>
      <c r="I168" s="1352"/>
      <c r="J168" s="1352"/>
      <c r="K168" s="1352"/>
      <c r="L168" s="1478"/>
      <c r="M168" s="1538"/>
      <c r="N168" s="1616"/>
      <c r="O168" s="1628"/>
      <c r="P168" s="467"/>
      <c r="Q168" s="467"/>
      <c r="R168" s="467"/>
      <c r="S168" s="467"/>
      <c r="T168" s="467"/>
      <c r="U168" s="467"/>
      <c r="V168" s="467"/>
      <c r="W168" s="467"/>
      <c r="X168" s="467"/>
      <c r="Y168" s="467"/>
      <c r="Z168" s="467"/>
      <c r="AA168" s="467"/>
      <c r="AB168" s="467"/>
      <c r="AC168" s="467"/>
      <c r="AD168" s="467"/>
      <c r="AE168" s="467"/>
      <c r="AF168" s="467"/>
      <c r="AG168" s="467"/>
      <c r="AH168" s="467"/>
      <c r="AI168" s="467"/>
      <c r="AJ168" s="467"/>
      <c r="AK168" s="467"/>
      <c r="AL168" s="467"/>
      <c r="AM168" s="467"/>
      <c r="AN168" s="467"/>
    </row>
    <row r="169" spans="1:40" s="1551" customFormat="1" ht="13.5" customHeight="1" thickBot="1" x14ac:dyDescent="0.25">
      <c r="A169" s="1138"/>
      <c r="B169" s="1139" t="s">
        <v>392</v>
      </c>
      <c r="C169" s="1549"/>
      <c r="D169" s="1549"/>
      <c r="E169" s="1549">
        <f>SUM('6. sz.melléklet'!E10)</f>
        <v>100</v>
      </c>
      <c r="F169" s="1549"/>
      <c r="G169" s="1549"/>
      <c r="H169" s="1549"/>
      <c r="I169" s="1549"/>
      <c r="J169" s="1549"/>
      <c r="K169" s="1549"/>
      <c r="L169" s="1550"/>
      <c r="M169" s="1549"/>
      <c r="N169" s="1615">
        <f>SUM(C169:M169)</f>
        <v>100</v>
      </c>
      <c r="O169" s="1628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467"/>
      <c r="AI169" s="467"/>
      <c r="AJ169" s="467"/>
      <c r="AK169" s="467"/>
      <c r="AL169" s="467"/>
      <c r="AM169" s="467"/>
      <c r="AN169" s="467"/>
    </row>
    <row r="170" spans="1:40" s="439" customFormat="1" ht="0.2" customHeight="1" x14ac:dyDescent="0.2">
      <c r="A170" s="1519"/>
      <c r="B170" s="1520" t="s">
        <v>393</v>
      </c>
      <c r="C170" s="1538"/>
      <c r="D170" s="1538"/>
      <c r="E170" s="1538"/>
      <c r="F170" s="1538"/>
      <c r="G170" s="1538"/>
      <c r="H170" s="1538"/>
      <c r="I170" s="1538"/>
      <c r="J170" s="1538"/>
      <c r="K170" s="1538"/>
      <c r="L170" s="1539"/>
      <c r="M170" s="1497"/>
      <c r="N170" s="1498"/>
      <c r="O170" s="1628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/>
      <c r="AN170" s="467"/>
    </row>
    <row r="171" spans="1:40" s="439" customFormat="1" ht="0.2" customHeight="1" x14ac:dyDescent="0.2">
      <c r="A171" s="1136"/>
      <c r="B171" s="1137" t="s">
        <v>391</v>
      </c>
      <c r="C171" s="1352"/>
      <c r="D171" s="1352"/>
      <c r="E171" s="1352"/>
      <c r="F171" s="1352"/>
      <c r="G171" s="1352"/>
      <c r="H171" s="1352"/>
      <c r="I171" s="1352"/>
      <c r="J171" s="1352"/>
      <c r="K171" s="1352"/>
      <c r="L171" s="1478"/>
      <c r="M171" s="1497"/>
      <c r="N171" s="1498">
        <f>SUM(E171:M171)</f>
        <v>0</v>
      </c>
      <c r="O171" s="1628"/>
      <c r="P171" s="467"/>
      <c r="Q171" s="467"/>
      <c r="R171" s="467"/>
      <c r="S171" s="467"/>
      <c r="T171" s="467"/>
      <c r="U171" s="467"/>
      <c r="V171" s="467"/>
      <c r="W171" s="467"/>
      <c r="X171" s="467"/>
      <c r="Y171" s="467"/>
      <c r="Z171" s="467"/>
      <c r="AA171" s="467"/>
      <c r="AB171" s="467"/>
      <c r="AC171" s="467"/>
      <c r="AD171" s="467"/>
      <c r="AE171" s="467"/>
      <c r="AF171" s="467"/>
      <c r="AG171" s="467"/>
      <c r="AH171" s="467"/>
      <c r="AI171" s="467"/>
      <c r="AJ171" s="467"/>
      <c r="AK171" s="467"/>
      <c r="AL171" s="467"/>
      <c r="AM171" s="467"/>
      <c r="AN171" s="467"/>
    </row>
    <row r="172" spans="1:40" s="439" customFormat="1" ht="23.25" customHeight="1" x14ac:dyDescent="0.2">
      <c r="A172" s="1351" t="s">
        <v>325</v>
      </c>
      <c r="B172" s="1137" t="s">
        <v>610</v>
      </c>
      <c r="C172" s="1352"/>
      <c r="D172" s="1352"/>
      <c r="E172" s="1352"/>
      <c r="F172" s="1352"/>
      <c r="G172" s="1352"/>
      <c r="H172" s="1352"/>
      <c r="I172" s="1352"/>
      <c r="J172" s="1352"/>
      <c r="K172" s="1352"/>
      <c r="L172" s="1478"/>
      <c r="M172" s="1538"/>
      <c r="N172" s="1616"/>
      <c r="O172" s="1628"/>
      <c r="P172" s="467"/>
      <c r="Q172" s="467"/>
      <c r="R172" s="467"/>
      <c r="S172" s="467"/>
      <c r="T172" s="467"/>
      <c r="U172" s="467"/>
      <c r="V172" s="467"/>
      <c r="W172" s="467"/>
      <c r="X172" s="467"/>
      <c r="Y172" s="467"/>
      <c r="Z172" s="467"/>
      <c r="AA172" s="467"/>
      <c r="AB172" s="467"/>
      <c r="AC172" s="467"/>
      <c r="AD172" s="467"/>
      <c r="AE172" s="467"/>
      <c r="AF172" s="467"/>
      <c r="AG172" s="467"/>
      <c r="AH172" s="467"/>
      <c r="AI172" s="467"/>
      <c r="AJ172" s="467"/>
      <c r="AK172" s="467"/>
      <c r="AL172" s="467"/>
      <c r="AM172" s="467"/>
      <c r="AN172" s="467"/>
    </row>
    <row r="173" spans="1:40" s="1551" customFormat="1" ht="13.5" customHeight="1" thickBot="1" x14ac:dyDescent="0.25">
      <c r="A173" s="1548"/>
      <c r="B173" s="1450" t="s">
        <v>392</v>
      </c>
      <c r="C173" s="1549"/>
      <c r="D173" s="1549"/>
      <c r="E173" s="1549"/>
      <c r="F173" s="1549"/>
      <c r="G173" s="1549"/>
      <c r="H173" s="1549"/>
      <c r="I173" s="1549"/>
      <c r="J173" s="1549"/>
      <c r="K173" s="1549"/>
      <c r="L173" s="1550"/>
      <c r="M173" s="1549">
        <v>3424</v>
      </c>
      <c r="N173" s="1615">
        <f>SUM(C173:M173)</f>
        <v>3424</v>
      </c>
      <c r="O173" s="1628"/>
      <c r="P173" s="467"/>
      <c r="Q173" s="467"/>
      <c r="R173" s="467"/>
      <c r="S173" s="467"/>
      <c r="T173" s="467"/>
      <c r="U173" s="467"/>
      <c r="V173" s="467"/>
      <c r="W173" s="467"/>
      <c r="X173" s="467"/>
      <c r="Y173" s="467"/>
      <c r="Z173" s="467"/>
      <c r="AA173" s="467"/>
      <c r="AB173" s="467"/>
      <c r="AC173" s="467"/>
      <c r="AD173" s="467"/>
      <c r="AE173" s="467"/>
      <c r="AF173" s="467"/>
      <c r="AG173" s="467"/>
      <c r="AH173" s="467"/>
      <c r="AI173" s="467"/>
      <c r="AJ173" s="467"/>
      <c r="AK173" s="467"/>
      <c r="AL173" s="467"/>
      <c r="AM173" s="467"/>
      <c r="AN173" s="467"/>
    </row>
    <row r="174" spans="1:40" s="439" customFormat="1" ht="0.2" customHeight="1" x14ac:dyDescent="0.2">
      <c r="A174" s="1537"/>
      <c r="B174" s="1524" t="s">
        <v>393</v>
      </c>
      <c r="C174" s="1538"/>
      <c r="D174" s="1538"/>
      <c r="E174" s="1538"/>
      <c r="F174" s="1538"/>
      <c r="G174" s="1538"/>
      <c r="H174" s="1538"/>
      <c r="I174" s="1538"/>
      <c r="J174" s="1538"/>
      <c r="K174" s="1538"/>
      <c r="L174" s="1539"/>
      <c r="M174" s="1497"/>
      <c r="N174" s="1498">
        <f>SUM(H174:M174)</f>
        <v>0</v>
      </c>
      <c r="O174" s="1628"/>
      <c r="P174" s="467"/>
      <c r="Q174" s="467"/>
      <c r="R174" s="467"/>
      <c r="S174" s="467"/>
      <c r="T174" s="467"/>
      <c r="U174" s="467"/>
      <c r="V174" s="467"/>
      <c r="W174" s="467"/>
      <c r="X174" s="467"/>
      <c r="Y174" s="467"/>
      <c r="Z174" s="467"/>
      <c r="AA174" s="467"/>
      <c r="AB174" s="467"/>
      <c r="AC174" s="467"/>
      <c r="AD174" s="467"/>
      <c r="AE174" s="467"/>
      <c r="AF174" s="467"/>
      <c r="AG174" s="467"/>
      <c r="AH174" s="467"/>
      <c r="AI174" s="467"/>
      <c r="AJ174" s="467"/>
      <c r="AK174" s="467"/>
      <c r="AL174" s="467"/>
      <c r="AM174" s="467"/>
      <c r="AN174" s="467"/>
    </row>
    <row r="175" spans="1:40" s="439" customFormat="1" ht="0.2" customHeight="1" x14ac:dyDescent="0.2">
      <c r="A175" s="1351"/>
      <c r="B175" s="1142" t="s">
        <v>391</v>
      </c>
      <c r="C175" s="1352"/>
      <c r="D175" s="1352"/>
      <c r="E175" s="1352"/>
      <c r="F175" s="1352"/>
      <c r="G175" s="1352"/>
      <c r="H175" s="1352"/>
      <c r="I175" s="1352"/>
      <c r="J175" s="1352"/>
      <c r="K175" s="1352"/>
      <c r="L175" s="1478"/>
      <c r="M175" s="1497"/>
      <c r="N175" s="1498">
        <f>SUM(C175:M175)</f>
        <v>0</v>
      </c>
      <c r="O175" s="1628"/>
      <c r="P175" s="467"/>
      <c r="Q175" s="467"/>
      <c r="R175" s="467"/>
      <c r="S175" s="467"/>
      <c r="T175" s="467"/>
      <c r="U175" s="467"/>
      <c r="V175" s="467"/>
      <c r="W175" s="467"/>
      <c r="X175" s="467"/>
      <c r="Y175" s="467"/>
      <c r="Z175" s="467"/>
      <c r="AA175" s="467"/>
      <c r="AB175" s="467"/>
      <c r="AC175" s="467"/>
      <c r="AD175" s="467"/>
      <c r="AE175" s="467"/>
      <c r="AF175" s="467"/>
      <c r="AG175" s="467"/>
      <c r="AH175" s="467"/>
      <c r="AI175" s="467"/>
      <c r="AJ175" s="467"/>
      <c r="AK175" s="467"/>
      <c r="AL175" s="467"/>
      <c r="AM175" s="467"/>
      <c r="AN175" s="467"/>
    </row>
    <row r="176" spans="1:40" s="439" customFormat="1" ht="13.5" customHeight="1" x14ac:dyDescent="0.2">
      <c r="A176" s="1351" t="s">
        <v>256</v>
      </c>
      <c r="B176" s="1142" t="s">
        <v>263</v>
      </c>
      <c r="C176" s="1352"/>
      <c r="D176" s="1352"/>
      <c r="E176" s="1352"/>
      <c r="F176" s="1352"/>
      <c r="G176" s="1352"/>
      <c r="H176" s="1352"/>
      <c r="I176" s="1352"/>
      <c r="J176" s="1352"/>
      <c r="K176" s="1352"/>
      <c r="L176" s="1478"/>
      <c r="M176" s="1538"/>
      <c r="N176" s="1616"/>
      <c r="O176" s="1628"/>
      <c r="P176" s="467"/>
      <c r="Q176" s="467"/>
      <c r="R176" s="467"/>
      <c r="S176" s="467"/>
      <c r="T176" s="467"/>
      <c r="U176" s="467"/>
      <c r="V176" s="467"/>
      <c r="W176" s="467"/>
      <c r="X176" s="467"/>
      <c r="Y176" s="467"/>
      <c r="Z176" s="467"/>
      <c r="AA176" s="467"/>
      <c r="AB176" s="467"/>
      <c r="AC176" s="467"/>
      <c r="AD176" s="467"/>
      <c r="AE176" s="467"/>
      <c r="AF176" s="467"/>
      <c r="AG176" s="467"/>
      <c r="AH176" s="467"/>
      <c r="AI176" s="467"/>
      <c r="AJ176" s="467"/>
      <c r="AK176" s="467"/>
      <c r="AL176" s="467"/>
      <c r="AM176" s="467"/>
      <c r="AN176" s="467"/>
    </row>
    <row r="177" spans="1:40" s="1551" customFormat="1" ht="13.5" customHeight="1" thickBot="1" x14ac:dyDescent="0.25">
      <c r="A177" s="1548"/>
      <c r="B177" s="1139" t="s">
        <v>392</v>
      </c>
      <c r="C177" s="1549">
        <f>SUM('6. sz.melléklet'!C14)</f>
        <v>360</v>
      </c>
      <c r="D177" s="1549">
        <f>SUM('6. sz.melléklet'!D14)</f>
        <v>97</v>
      </c>
      <c r="E177" s="1549">
        <f>SUM('6. sz.melléklet'!E14)</f>
        <v>43205</v>
      </c>
      <c r="F177" s="1549"/>
      <c r="G177" s="1549">
        <f>SUM('6. sz.melléklet'!G14)</f>
        <v>157360</v>
      </c>
      <c r="H177" s="1549">
        <f>SUM('6. sz.melléklet'!H14)</f>
        <v>283430</v>
      </c>
      <c r="I177" s="1549"/>
      <c r="J177" s="1549"/>
      <c r="K177" s="1549"/>
      <c r="L177" s="1550"/>
      <c r="M177" s="1549"/>
      <c r="N177" s="1615">
        <f>SUM(C177:M177)</f>
        <v>484452</v>
      </c>
      <c r="O177" s="1628"/>
      <c r="P177" s="467"/>
      <c r="Q177" s="467"/>
      <c r="R177" s="467"/>
      <c r="S177" s="467"/>
      <c r="T177" s="467"/>
      <c r="U177" s="467"/>
      <c r="V177" s="467"/>
      <c r="W177" s="467"/>
      <c r="X177" s="467"/>
      <c r="Y177" s="467"/>
      <c r="Z177" s="467"/>
      <c r="AA177" s="467"/>
      <c r="AB177" s="467"/>
      <c r="AC177" s="467"/>
      <c r="AD177" s="467"/>
      <c r="AE177" s="467"/>
      <c r="AF177" s="467"/>
      <c r="AG177" s="467"/>
      <c r="AH177" s="467"/>
      <c r="AI177" s="467"/>
      <c r="AJ177" s="467"/>
      <c r="AK177" s="467"/>
      <c r="AL177" s="467"/>
      <c r="AM177" s="467"/>
      <c r="AN177" s="467"/>
    </row>
    <row r="178" spans="1:40" s="439" customFormat="1" ht="0.2" customHeight="1" x14ac:dyDescent="0.2">
      <c r="A178" s="1537"/>
      <c r="B178" s="1520" t="s">
        <v>393</v>
      </c>
      <c r="C178" s="1538"/>
      <c r="D178" s="1538"/>
      <c r="E178" s="1538"/>
      <c r="F178" s="1538"/>
      <c r="G178" s="1538"/>
      <c r="H178" s="1538"/>
      <c r="I178" s="1538"/>
      <c r="J178" s="1538"/>
      <c r="K178" s="1538"/>
      <c r="L178" s="1539"/>
      <c r="M178" s="1497"/>
      <c r="N178" s="1498">
        <f>SUM(C178:M178)</f>
        <v>0</v>
      </c>
      <c r="O178" s="1628"/>
      <c r="P178" s="467"/>
      <c r="Q178" s="467"/>
      <c r="R178" s="467"/>
      <c r="S178" s="467"/>
      <c r="T178" s="467"/>
      <c r="U178" s="467"/>
      <c r="V178" s="467"/>
      <c r="W178" s="467"/>
      <c r="X178" s="467"/>
      <c r="Y178" s="467"/>
      <c r="Z178" s="467"/>
      <c r="AA178" s="467"/>
      <c r="AB178" s="467"/>
      <c r="AC178" s="467"/>
      <c r="AD178" s="467"/>
      <c r="AE178" s="467"/>
      <c r="AF178" s="467"/>
      <c r="AG178" s="467"/>
      <c r="AH178" s="467"/>
      <c r="AI178" s="467"/>
      <c r="AJ178" s="467"/>
      <c r="AK178" s="467"/>
      <c r="AL178" s="467"/>
      <c r="AM178" s="467"/>
      <c r="AN178" s="467"/>
    </row>
    <row r="179" spans="1:40" s="439" customFormat="1" ht="0.2" customHeight="1" x14ac:dyDescent="0.2">
      <c r="A179" s="1351"/>
      <c r="B179" s="1137" t="s">
        <v>391</v>
      </c>
      <c r="C179" s="1352"/>
      <c r="D179" s="1352"/>
      <c r="E179" s="1352"/>
      <c r="F179" s="1352"/>
      <c r="G179" s="1352"/>
      <c r="H179" s="1352"/>
      <c r="I179" s="1352"/>
      <c r="J179" s="1352"/>
      <c r="K179" s="1352"/>
      <c r="L179" s="1478"/>
      <c r="M179" s="1497"/>
      <c r="N179" s="1498">
        <f>SUM(C179:M179)</f>
        <v>0</v>
      </c>
      <c r="O179" s="1628"/>
      <c r="P179" s="467"/>
      <c r="Q179" s="467"/>
      <c r="R179" s="467"/>
      <c r="S179" s="467"/>
      <c r="T179" s="467"/>
      <c r="U179" s="467"/>
      <c r="V179" s="467"/>
      <c r="W179" s="467"/>
      <c r="X179" s="467"/>
      <c r="Y179" s="467"/>
      <c r="Z179" s="467"/>
      <c r="AA179" s="467"/>
      <c r="AB179" s="467"/>
      <c r="AC179" s="467"/>
      <c r="AD179" s="467"/>
      <c r="AE179" s="467"/>
      <c r="AF179" s="467"/>
      <c r="AG179" s="467"/>
      <c r="AH179" s="467"/>
      <c r="AI179" s="467"/>
      <c r="AJ179" s="467"/>
      <c r="AK179" s="467"/>
      <c r="AL179" s="467"/>
      <c r="AM179" s="467"/>
      <c r="AN179" s="467"/>
    </row>
    <row r="180" spans="1:40" s="439" customFormat="1" ht="13.5" customHeight="1" x14ac:dyDescent="0.2">
      <c r="A180" s="1140" t="s">
        <v>500</v>
      </c>
      <c r="B180" s="1362" t="s">
        <v>501</v>
      </c>
      <c r="C180" s="1359"/>
      <c r="D180" s="1359"/>
      <c r="E180" s="1359"/>
      <c r="F180" s="1359"/>
      <c r="G180" s="1359"/>
      <c r="H180" s="1363"/>
      <c r="I180" s="1352"/>
      <c r="J180" s="1352"/>
      <c r="K180" s="1352"/>
      <c r="L180" s="1478"/>
      <c r="M180" s="1538"/>
      <c r="N180" s="1616"/>
      <c r="O180" s="1628"/>
      <c r="P180" s="467"/>
      <c r="Q180" s="467"/>
      <c r="R180" s="467"/>
      <c r="S180" s="467"/>
      <c r="T180" s="467"/>
      <c r="U180" s="467"/>
      <c r="V180" s="467"/>
      <c r="W180" s="467"/>
      <c r="X180" s="467"/>
      <c r="Y180" s="467"/>
      <c r="Z180" s="467"/>
      <c r="AA180" s="467"/>
      <c r="AB180" s="467"/>
      <c r="AC180" s="467"/>
      <c r="AD180" s="467"/>
      <c r="AE180" s="467"/>
      <c r="AF180" s="467"/>
      <c r="AG180" s="467"/>
      <c r="AH180" s="467"/>
      <c r="AI180" s="467"/>
      <c r="AJ180" s="467"/>
      <c r="AK180" s="467"/>
      <c r="AL180" s="467"/>
      <c r="AM180" s="467"/>
      <c r="AN180" s="467"/>
    </row>
    <row r="181" spans="1:40" s="1551" customFormat="1" ht="13.5" customHeight="1" thickBot="1" x14ac:dyDescent="0.25">
      <c r="A181" s="1141"/>
      <c r="B181" s="1552" t="s">
        <v>392</v>
      </c>
      <c r="C181" s="1553"/>
      <c r="D181" s="1553"/>
      <c r="E181" s="1553"/>
      <c r="F181" s="1553"/>
      <c r="G181" s="1553"/>
      <c r="H181" s="1554"/>
      <c r="I181" s="1549"/>
      <c r="J181" s="1549"/>
      <c r="K181" s="1549"/>
      <c r="L181" s="1550"/>
      <c r="M181" s="1549"/>
      <c r="N181" s="1615"/>
      <c r="O181" s="1628"/>
      <c r="P181" s="467"/>
      <c r="Q181" s="467"/>
      <c r="R181" s="467"/>
      <c r="S181" s="467"/>
      <c r="T181" s="467"/>
      <c r="U181" s="467"/>
      <c r="V181" s="467"/>
      <c r="W181" s="467"/>
      <c r="X181" s="467"/>
      <c r="Y181" s="467"/>
      <c r="Z181" s="467"/>
      <c r="AA181" s="467"/>
      <c r="AB181" s="467"/>
      <c r="AC181" s="467"/>
      <c r="AD181" s="467"/>
      <c r="AE181" s="467"/>
      <c r="AF181" s="467"/>
      <c r="AG181" s="467"/>
      <c r="AH181" s="467"/>
      <c r="AI181" s="467"/>
      <c r="AJ181" s="467"/>
      <c r="AK181" s="467"/>
      <c r="AL181" s="467"/>
      <c r="AM181" s="467"/>
      <c r="AN181" s="467"/>
    </row>
    <row r="182" spans="1:40" s="439" customFormat="1" ht="0.2" customHeight="1" x14ac:dyDescent="0.2">
      <c r="A182" s="1522"/>
      <c r="B182" s="1540" t="s">
        <v>393</v>
      </c>
      <c r="C182" s="1541"/>
      <c r="D182" s="1541"/>
      <c r="E182" s="1541"/>
      <c r="F182" s="1541"/>
      <c r="G182" s="1541"/>
      <c r="H182" s="1542"/>
      <c r="I182" s="1538"/>
      <c r="J182" s="1538"/>
      <c r="K182" s="1538"/>
      <c r="L182" s="1539"/>
      <c r="M182" s="1497"/>
      <c r="N182" s="1498"/>
      <c r="O182" s="1628"/>
      <c r="P182" s="467"/>
      <c r="Q182" s="467"/>
      <c r="R182" s="467"/>
      <c r="S182" s="467"/>
      <c r="T182" s="467"/>
      <c r="U182" s="467"/>
      <c r="V182" s="467"/>
      <c r="W182" s="467"/>
      <c r="X182" s="467"/>
      <c r="Y182" s="467"/>
      <c r="Z182" s="467"/>
      <c r="AA182" s="467"/>
      <c r="AB182" s="467"/>
      <c r="AC182" s="467"/>
      <c r="AD182" s="467"/>
      <c r="AE182" s="467"/>
      <c r="AF182" s="467"/>
      <c r="AG182" s="467"/>
      <c r="AH182" s="467"/>
      <c r="AI182" s="467"/>
      <c r="AJ182" s="467"/>
      <c r="AK182" s="467"/>
      <c r="AL182" s="467"/>
      <c r="AM182" s="467"/>
      <c r="AN182" s="467"/>
    </row>
    <row r="183" spans="1:40" s="439" customFormat="1" ht="0.2" customHeight="1" x14ac:dyDescent="0.2">
      <c r="A183" s="1140"/>
      <c r="B183" s="1362" t="s">
        <v>391</v>
      </c>
      <c r="C183" s="1359"/>
      <c r="D183" s="1359"/>
      <c r="E183" s="1359"/>
      <c r="F183" s="1359"/>
      <c r="G183" s="1359"/>
      <c r="H183" s="1363"/>
      <c r="I183" s="1352"/>
      <c r="J183" s="1352"/>
      <c r="K183" s="1352"/>
      <c r="L183" s="1478"/>
      <c r="M183" s="1497"/>
      <c r="N183" s="1498">
        <f>SUM(C183:M183)</f>
        <v>0</v>
      </c>
      <c r="O183" s="1628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67"/>
      <c r="AI183" s="467"/>
      <c r="AJ183" s="467"/>
      <c r="AK183" s="467"/>
      <c r="AL183" s="467"/>
      <c r="AM183" s="467"/>
      <c r="AN183" s="467"/>
    </row>
    <row r="184" spans="1:40" s="439" customFormat="1" ht="13.5" customHeight="1" x14ac:dyDescent="0.2">
      <c r="A184" s="1140" t="s">
        <v>246</v>
      </c>
      <c r="B184" s="1353" t="s">
        <v>134</v>
      </c>
      <c r="C184" s="1354"/>
      <c r="D184" s="1354"/>
      <c r="E184" s="1354"/>
      <c r="F184" s="1352"/>
      <c r="G184" s="1352"/>
      <c r="H184" s="1364"/>
      <c r="I184" s="1352"/>
      <c r="J184" s="1352"/>
      <c r="K184" s="1352"/>
      <c r="L184" s="1478"/>
      <c r="M184" s="1538"/>
      <c r="N184" s="1616"/>
      <c r="O184" s="1628"/>
      <c r="P184" s="467"/>
      <c r="Q184" s="467"/>
      <c r="R184" s="467"/>
      <c r="S184" s="467"/>
      <c r="T184" s="467"/>
      <c r="U184" s="467"/>
      <c r="V184" s="467"/>
      <c r="W184" s="467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67"/>
      <c r="AI184" s="467"/>
      <c r="AJ184" s="467"/>
      <c r="AK184" s="467"/>
      <c r="AL184" s="467"/>
      <c r="AM184" s="467"/>
      <c r="AN184" s="467"/>
    </row>
    <row r="185" spans="1:40" s="1551" customFormat="1" ht="13.5" customHeight="1" thickBot="1" x14ac:dyDescent="0.25">
      <c r="A185" s="1141"/>
      <c r="B185" s="1139" t="s">
        <v>392</v>
      </c>
      <c r="C185" s="1555">
        <f>SUM('13.sz.melléklet'!C15)</f>
        <v>6568</v>
      </c>
      <c r="D185" s="1555">
        <f>SUM('13.sz.melléklet'!D15)</f>
        <v>1921</v>
      </c>
      <c r="E185" s="1555">
        <f>SUM('13.sz.melléklet'!E15)</f>
        <v>2204</v>
      </c>
      <c r="F185" s="1549"/>
      <c r="G185" s="1549">
        <f>SUM('13.sz.melléklet'!G15)</f>
        <v>0</v>
      </c>
      <c r="H185" s="1549">
        <f>SUM('13.sz.melléklet'!F15)</f>
        <v>0</v>
      </c>
      <c r="I185" s="1549"/>
      <c r="J185" s="1549"/>
      <c r="K185" s="1549"/>
      <c r="L185" s="1550"/>
      <c r="M185" s="1549"/>
      <c r="N185" s="1615">
        <f>SUM(C185:M185)</f>
        <v>10693</v>
      </c>
      <c r="O185" s="1628"/>
      <c r="P185" s="467"/>
      <c r="Q185" s="467"/>
      <c r="R185" s="467"/>
      <c r="S185" s="467"/>
      <c r="T185" s="467"/>
      <c r="U185" s="467"/>
      <c r="V185" s="467"/>
      <c r="W185" s="467"/>
      <c r="X185" s="467"/>
      <c r="Y185" s="467"/>
      <c r="Z185" s="467"/>
      <c r="AA185" s="467"/>
      <c r="AB185" s="467"/>
      <c r="AC185" s="467"/>
      <c r="AD185" s="467"/>
      <c r="AE185" s="467"/>
      <c r="AF185" s="467"/>
      <c r="AG185" s="467"/>
      <c r="AH185" s="467"/>
      <c r="AI185" s="467"/>
      <c r="AJ185" s="467"/>
      <c r="AK185" s="467"/>
      <c r="AL185" s="467"/>
      <c r="AM185" s="467"/>
      <c r="AN185" s="467"/>
    </row>
    <row r="186" spans="1:40" s="439" customFormat="1" ht="0.2" customHeight="1" x14ac:dyDescent="0.2">
      <c r="A186" s="1522"/>
      <c r="B186" s="1520" t="s">
        <v>393</v>
      </c>
      <c r="C186" s="1543"/>
      <c r="D186" s="1543"/>
      <c r="E186" s="1543"/>
      <c r="F186" s="1538"/>
      <c r="G186" s="1538"/>
      <c r="H186" s="1538"/>
      <c r="I186" s="1538"/>
      <c r="J186" s="1538"/>
      <c r="K186" s="1538"/>
      <c r="L186" s="1539"/>
      <c r="M186" s="1497"/>
      <c r="N186" s="1498">
        <f>SUM(C186:M186)</f>
        <v>0</v>
      </c>
      <c r="O186" s="1628"/>
      <c r="P186" s="467"/>
      <c r="Q186" s="467"/>
      <c r="R186" s="467"/>
      <c r="S186" s="467"/>
      <c r="T186" s="467"/>
      <c r="U186" s="467"/>
      <c r="V186" s="467"/>
      <c r="W186" s="467"/>
      <c r="X186" s="467"/>
      <c r="Y186" s="467"/>
      <c r="Z186" s="467"/>
      <c r="AA186" s="467"/>
      <c r="AB186" s="467"/>
      <c r="AC186" s="467"/>
      <c r="AD186" s="467"/>
      <c r="AE186" s="467"/>
      <c r="AF186" s="467"/>
      <c r="AG186" s="467"/>
      <c r="AH186" s="467"/>
      <c r="AI186" s="467"/>
      <c r="AJ186" s="467"/>
      <c r="AK186" s="467"/>
      <c r="AL186" s="467"/>
      <c r="AM186" s="467"/>
      <c r="AN186" s="467"/>
    </row>
    <row r="187" spans="1:40" s="439" customFormat="1" ht="0.2" customHeight="1" x14ac:dyDescent="0.2">
      <c r="A187" s="1140"/>
      <c r="B187" s="1137" t="s">
        <v>391</v>
      </c>
      <c r="C187" s="1354"/>
      <c r="D187" s="1354"/>
      <c r="E187" s="1354"/>
      <c r="F187" s="1352"/>
      <c r="G187" s="1352"/>
      <c r="H187" s="1352"/>
      <c r="I187" s="1352"/>
      <c r="J187" s="1352"/>
      <c r="K187" s="1352"/>
      <c r="L187" s="1478"/>
      <c r="M187" s="1497"/>
      <c r="N187" s="1498">
        <f>SUM(C187:M187)</f>
        <v>0</v>
      </c>
      <c r="O187" s="1628"/>
      <c r="P187" s="467"/>
      <c r="Q187" s="467"/>
      <c r="R187" s="467"/>
      <c r="S187" s="467"/>
      <c r="T187" s="467"/>
      <c r="U187" s="467"/>
      <c r="V187" s="467"/>
      <c r="W187" s="467"/>
      <c r="X187" s="467"/>
      <c r="Y187" s="467"/>
      <c r="Z187" s="467"/>
      <c r="AA187" s="467"/>
      <c r="AB187" s="467"/>
      <c r="AC187" s="467"/>
      <c r="AD187" s="467"/>
      <c r="AE187" s="467"/>
      <c r="AF187" s="467"/>
      <c r="AG187" s="467"/>
      <c r="AH187" s="467"/>
      <c r="AI187" s="467"/>
      <c r="AJ187" s="467"/>
      <c r="AK187" s="467"/>
      <c r="AL187" s="467"/>
      <c r="AM187" s="467"/>
      <c r="AN187" s="467"/>
    </row>
    <row r="188" spans="1:40" s="439" customFormat="1" ht="13.5" customHeight="1" x14ac:dyDescent="0.2">
      <c r="A188" s="1136" t="s">
        <v>260</v>
      </c>
      <c r="B188" s="1355" t="s">
        <v>261</v>
      </c>
      <c r="C188" s="1342"/>
      <c r="D188" s="1342"/>
      <c r="E188" s="1342"/>
      <c r="F188" s="1352"/>
      <c r="G188" s="1352"/>
      <c r="H188" s="1352"/>
      <c r="I188" s="1352"/>
      <c r="J188" s="1352"/>
      <c r="K188" s="1352"/>
      <c r="L188" s="1478"/>
      <c r="M188" s="1538"/>
      <c r="N188" s="1616"/>
      <c r="O188" s="1628"/>
      <c r="P188" s="467"/>
      <c r="Q188" s="467"/>
      <c r="R188" s="467"/>
      <c r="S188" s="467"/>
      <c r="T188" s="467"/>
      <c r="U188" s="467"/>
      <c r="V188" s="467"/>
      <c r="W188" s="467"/>
      <c r="X188" s="467"/>
      <c r="Y188" s="467"/>
      <c r="Z188" s="467"/>
      <c r="AA188" s="467"/>
      <c r="AB188" s="467"/>
      <c r="AC188" s="467"/>
      <c r="AD188" s="467"/>
      <c r="AE188" s="467"/>
      <c r="AF188" s="467"/>
      <c r="AG188" s="467"/>
      <c r="AH188" s="467"/>
      <c r="AI188" s="467"/>
      <c r="AJ188" s="467"/>
      <c r="AK188" s="467"/>
      <c r="AL188" s="467"/>
      <c r="AM188" s="467"/>
      <c r="AN188" s="467"/>
    </row>
    <row r="189" spans="1:40" s="1551" customFormat="1" ht="13.5" customHeight="1" thickBot="1" x14ac:dyDescent="0.25">
      <c r="A189" s="1138"/>
      <c r="B189" s="1139" t="s">
        <v>392</v>
      </c>
      <c r="C189" s="1532"/>
      <c r="D189" s="1532"/>
      <c r="E189" s="1532">
        <f>SUM('16.sz. melléklet'!E15)</f>
        <v>1524</v>
      </c>
      <c r="F189" s="1549"/>
      <c r="G189" s="1549"/>
      <c r="H189" s="1549"/>
      <c r="I189" s="1549"/>
      <c r="J189" s="1549"/>
      <c r="K189" s="1549"/>
      <c r="L189" s="1550"/>
      <c r="M189" s="1549"/>
      <c r="N189" s="1615">
        <f>SUM(C189:M189)</f>
        <v>1524</v>
      </c>
      <c r="O189" s="1628"/>
      <c r="P189" s="467"/>
      <c r="Q189" s="467"/>
      <c r="R189" s="467"/>
      <c r="S189" s="467"/>
      <c r="T189" s="467"/>
      <c r="U189" s="467"/>
      <c r="V189" s="467"/>
      <c r="W189" s="467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67"/>
      <c r="AJ189" s="467"/>
      <c r="AK189" s="467"/>
      <c r="AL189" s="467"/>
      <c r="AM189" s="467"/>
      <c r="AN189" s="467"/>
    </row>
    <row r="190" spans="1:40" s="439" customFormat="1" ht="0.2" customHeight="1" x14ac:dyDescent="0.2">
      <c r="A190" s="1519"/>
      <c r="B190" s="1520" t="s">
        <v>393</v>
      </c>
      <c r="C190" s="1530"/>
      <c r="D190" s="1530"/>
      <c r="E190" s="1530"/>
      <c r="F190" s="1538"/>
      <c r="G190" s="1538"/>
      <c r="H190" s="1538"/>
      <c r="I190" s="1538"/>
      <c r="J190" s="1538"/>
      <c r="K190" s="1538"/>
      <c r="L190" s="1539"/>
      <c r="M190" s="1497"/>
      <c r="N190" s="1498">
        <f>SUM(C190:M190)</f>
        <v>0</v>
      </c>
      <c r="O190" s="1628"/>
      <c r="P190" s="467"/>
      <c r="Q190" s="467"/>
      <c r="R190" s="467"/>
      <c r="S190" s="467"/>
      <c r="T190" s="467"/>
      <c r="U190" s="467"/>
      <c r="V190" s="467"/>
      <c r="W190" s="467"/>
      <c r="X190" s="467"/>
      <c r="Y190" s="467"/>
      <c r="Z190" s="467"/>
      <c r="AA190" s="467"/>
      <c r="AB190" s="467"/>
      <c r="AC190" s="467"/>
      <c r="AD190" s="467"/>
      <c r="AE190" s="467"/>
      <c r="AF190" s="467"/>
      <c r="AG190" s="467"/>
      <c r="AH190" s="467"/>
      <c r="AI190" s="467"/>
      <c r="AJ190" s="467"/>
      <c r="AK190" s="467"/>
      <c r="AL190" s="467"/>
      <c r="AM190" s="467"/>
      <c r="AN190" s="467"/>
    </row>
    <row r="191" spans="1:40" s="439" customFormat="1" ht="0.2" customHeight="1" x14ac:dyDescent="0.2">
      <c r="A191" s="1136"/>
      <c r="B191" s="1137" t="s">
        <v>391</v>
      </c>
      <c r="C191" s="1342"/>
      <c r="D191" s="1342"/>
      <c r="E191" s="1342"/>
      <c r="F191" s="1352"/>
      <c r="G191" s="1352"/>
      <c r="H191" s="1352"/>
      <c r="I191" s="1352"/>
      <c r="J191" s="1352"/>
      <c r="K191" s="1352"/>
      <c r="L191" s="1478"/>
      <c r="M191" s="1497"/>
      <c r="N191" s="1498">
        <f>SUM(C191:M191)</f>
        <v>0</v>
      </c>
      <c r="O191" s="1628"/>
      <c r="P191" s="467"/>
      <c r="Q191" s="467"/>
      <c r="R191" s="467"/>
      <c r="S191" s="467"/>
      <c r="T191" s="467"/>
      <c r="U191" s="467"/>
      <c r="V191" s="467"/>
      <c r="W191" s="467"/>
      <c r="X191" s="467"/>
      <c r="Y191" s="467"/>
      <c r="Z191" s="467"/>
      <c r="AA191" s="467"/>
      <c r="AB191" s="467"/>
      <c r="AC191" s="467"/>
      <c r="AD191" s="467"/>
      <c r="AE191" s="467"/>
      <c r="AF191" s="467"/>
      <c r="AG191" s="467"/>
      <c r="AH191" s="467"/>
      <c r="AI191" s="467"/>
      <c r="AJ191" s="467"/>
      <c r="AK191" s="467"/>
      <c r="AL191" s="467"/>
      <c r="AM191" s="467"/>
      <c r="AN191" s="467"/>
    </row>
    <row r="192" spans="1:40" s="112" customFormat="1" ht="15" customHeight="1" x14ac:dyDescent="0.2">
      <c r="A192" s="1140" t="s">
        <v>270</v>
      </c>
      <c r="B192" s="1137" t="s">
        <v>171</v>
      </c>
      <c r="C192" s="1145"/>
      <c r="D192" s="1145"/>
      <c r="E192" s="1145"/>
      <c r="F192" s="1145"/>
      <c r="G192" s="1145"/>
      <c r="H192" s="1145"/>
      <c r="I192" s="1356"/>
      <c r="J192" s="1356"/>
      <c r="K192" s="1356"/>
      <c r="L192" s="1479"/>
      <c r="M192" s="1544"/>
      <c r="N192" s="1616"/>
      <c r="O192" s="536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</row>
    <row r="193" spans="1:40" s="1453" customFormat="1" ht="15" customHeight="1" thickBot="1" x14ac:dyDescent="0.25">
      <c r="A193" s="1141"/>
      <c r="B193" s="1139" t="s">
        <v>392</v>
      </c>
      <c r="C193" s="1360"/>
      <c r="D193" s="1360"/>
      <c r="E193" s="1360">
        <f>SUM('6. sz.melléklet'!E42)</f>
        <v>9655</v>
      </c>
      <c r="F193" s="1360"/>
      <c r="G193" s="1360">
        <f>SUM('6. sz.melléklet'!G42)</f>
        <v>70000</v>
      </c>
      <c r="H193" s="1360"/>
      <c r="I193" s="1361"/>
      <c r="J193" s="1361"/>
      <c r="K193" s="1361"/>
      <c r="L193" s="1480"/>
      <c r="M193" s="1361"/>
      <c r="N193" s="1615">
        <f>SUM(C193:M193)</f>
        <v>79655</v>
      </c>
      <c r="O193" s="536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</row>
    <row r="194" spans="1:40" s="112" customFormat="1" ht="0.2" customHeight="1" x14ac:dyDescent="0.2">
      <c r="A194" s="1522"/>
      <c r="B194" s="1520" t="s">
        <v>393</v>
      </c>
      <c r="C194" s="1523"/>
      <c r="D194" s="1523"/>
      <c r="E194" s="1523"/>
      <c r="F194" s="1523"/>
      <c r="G194" s="1523"/>
      <c r="H194" s="1523"/>
      <c r="I194" s="1544"/>
      <c r="J194" s="1544"/>
      <c r="K194" s="1544"/>
      <c r="L194" s="1545"/>
      <c r="M194" s="1499"/>
      <c r="N194" s="1498">
        <f>SUM(C194:M194)</f>
        <v>0</v>
      </c>
      <c r="O194" s="536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</row>
    <row r="195" spans="1:40" s="112" customFormat="1" ht="0.2" customHeight="1" x14ac:dyDescent="0.2">
      <c r="A195" s="1140"/>
      <c r="B195" s="1137" t="s">
        <v>391</v>
      </c>
      <c r="C195" s="1145"/>
      <c r="D195" s="1145"/>
      <c r="E195" s="1145"/>
      <c r="F195" s="1145"/>
      <c r="G195" s="1145"/>
      <c r="H195" s="1145"/>
      <c r="I195" s="1356"/>
      <c r="J195" s="1356"/>
      <c r="K195" s="1356"/>
      <c r="L195" s="1479"/>
      <c r="M195" s="1499"/>
      <c r="N195" s="1498">
        <f>SUM(C195:M195)</f>
        <v>0</v>
      </c>
      <c r="O195" s="536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</row>
    <row r="196" spans="1:40" s="112" customFormat="1" ht="14.25" customHeight="1" x14ac:dyDescent="0.2">
      <c r="A196" s="1140" t="s">
        <v>271</v>
      </c>
      <c r="B196" s="1137" t="s">
        <v>272</v>
      </c>
      <c r="C196" s="1145"/>
      <c r="D196" s="1145"/>
      <c r="E196" s="1145"/>
      <c r="F196" s="1145"/>
      <c r="G196" s="1145"/>
      <c r="H196" s="1145"/>
      <c r="I196" s="1356"/>
      <c r="J196" s="1356"/>
      <c r="K196" s="1356"/>
      <c r="L196" s="1479"/>
      <c r="M196" s="1544"/>
      <c r="N196" s="1616"/>
      <c r="O196" s="536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</row>
    <row r="197" spans="1:40" s="1453" customFormat="1" ht="14.25" customHeight="1" thickBot="1" x14ac:dyDescent="0.25">
      <c r="A197" s="1141"/>
      <c r="B197" s="1139" t="s">
        <v>392</v>
      </c>
      <c r="C197" s="1360"/>
      <c r="D197" s="1360"/>
      <c r="E197" s="1360">
        <f>SUM('6. sz.melléklet'!E46)</f>
        <v>1148</v>
      </c>
      <c r="F197" s="1360"/>
      <c r="G197" s="1360"/>
      <c r="H197" s="1360"/>
      <c r="I197" s="1361"/>
      <c r="J197" s="1361"/>
      <c r="K197" s="1361"/>
      <c r="L197" s="1480"/>
      <c r="M197" s="1361"/>
      <c r="N197" s="1615">
        <f>SUM(C197:M197)</f>
        <v>1148</v>
      </c>
      <c r="O197" s="536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</row>
    <row r="198" spans="1:40" s="112" customFormat="1" ht="0.2" customHeight="1" x14ac:dyDescent="0.2">
      <c r="A198" s="1522"/>
      <c r="B198" s="1520" t="s">
        <v>393</v>
      </c>
      <c r="C198" s="1523"/>
      <c r="D198" s="1523"/>
      <c r="E198" s="1523"/>
      <c r="F198" s="1523"/>
      <c r="G198" s="1523"/>
      <c r="H198" s="1523"/>
      <c r="I198" s="1544"/>
      <c r="J198" s="1544"/>
      <c r="K198" s="1544"/>
      <c r="L198" s="1545"/>
      <c r="M198" s="1499"/>
      <c r="N198" s="1498">
        <f>SUM(C198:M198)</f>
        <v>0</v>
      </c>
      <c r="O198" s="536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</row>
    <row r="199" spans="1:40" s="112" customFormat="1" ht="0.2" customHeight="1" x14ac:dyDescent="0.2">
      <c r="A199" s="1140"/>
      <c r="B199" s="1137" t="s">
        <v>391</v>
      </c>
      <c r="C199" s="1145"/>
      <c r="D199" s="1145"/>
      <c r="E199" s="1145"/>
      <c r="F199" s="1145"/>
      <c r="G199" s="1145"/>
      <c r="H199" s="1145"/>
      <c r="I199" s="1356"/>
      <c r="J199" s="1356"/>
      <c r="K199" s="1356"/>
      <c r="L199" s="1479"/>
      <c r="M199" s="1499"/>
      <c r="N199" s="1498">
        <f>SUM(C199:M199)</f>
        <v>0</v>
      </c>
      <c r="O199" s="536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</row>
    <row r="200" spans="1:40" s="112" customFormat="1" ht="16.5" customHeight="1" x14ac:dyDescent="0.2">
      <c r="A200" s="1140" t="s">
        <v>296</v>
      </c>
      <c r="B200" s="1137" t="s">
        <v>2</v>
      </c>
      <c r="C200" s="1357"/>
      <c r="D200" s="1145"/>
      <c r="E200" s="1145"/>
      <c r="F200" s="1145"/>
      <c r="G200" s="1145"/>
      <c r="H200" s="1145"/>
      <c r="I200" s="1356"/>
      <c r="J200" s="1356"/>
      <c r="K200" s="1356"/>
      <c r="L200" s="1479"/>
      <c r="M200" s="1544"/>
      <c r="N200" s="1616"/>
      <c r="O200" s="536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</row>
    <row r="201" spans="1:40" s="1453" customFormat="1" ht="16.5" customHeight="1" thickBot="1" x14ac:dyDescent="0.25">
      <c r="A201" s="1141"/>
      <c r="B201" s="1139" t="s">
        <v>392</v>
      </c>
      <c r="C201" s="1556"/>
      <c r="D201" s="1360"/>
      <c r="E201" s="1360">
        <f>SUM('6. sz.melléklet'!E50)</f>
        <v>15240</v>
      </c>
      <c r="F201" s="1360"/>
      <c r="G201" s="1360"/>
      <c r="H201" s="1360"/>
      <c r="I201" s="1361"/>
      <c r="J201" s="1361"/>
      <c r="K201" s="1361"/>
      <c r="L201" s="1480"/>
      <c r="M201" s="1361"/>
      <c r="N201" s="1615">
        <f>SUM(C201:M201)</f>
        <v>15240</v>
      </c>
      <c r="O201" s="536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</row>
    <row r="202" spans="1:40" s="112" customFormat="1" ht="0.2" customHeight="1" x14ac:dyDescent="0.2">
      <c r="A202" s="1522"/>
      <c r="B202" s="1520" t="s">
        <v>393</v>
      </c>
      <c r="C202" s="1546"/>
      <c r="D202" s="1523"/>
      <c r="E202" s="1523"/>
      <c r="F202" s="1523"/>
      <c r="G202" s="1523"/>
      <c r="H202" s="1523"/>
      <c r="I202" s="1544"/>
      <c r="J202" s="1544"/>
      <c r="K202" s="1544"/>
      <c r="L202" s="1545"/>
      <c r="M202" s="1499"/>
      <c r="N202" s="1498">
        <f>SUM(C202:M202)</f>
        <v>0</v>
      </c>
      <c r="O202" s="536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</row>
    <row r="203" spans="1:40" s="112" customFormat="1" ht="0.2" customHeight="1" x14ac:dyDescent="0.2">
      <c r="A203" s="1140"/>
      <c r="B203" s="1137" t="s">
        <v>391</v>
      </c>
      <c r="C203" s="1357"/>
      <c r="D203" s="1145"/>
      <c r="E203" s="1145"/>
      <c r="F203" s="1145"/>
      <c r="G203" s="1145"/>
      <c r="H203" s="1145"/>
      <c r="I203" s="1356"/>
      <c r="J203" s="1356"/>
      <c r="K203" s="1356"/>
      <c r="L203" s="1479"/>
      <c r="M203" s="1499"/>
      <c r="N203" s="1498">
        <f>SUM(C203:M203)</f>
        <v>0</v>
      </c>
      <c r="O203" s="536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</row>
    <row r="204" spans="1:40" s="112" customFormat="1" ht="12.75" customHeight="1" x14ac:dyDescent="0.2">
      <c r="A204" s="1140" t="s">
        <v>297</v>
      </c>
      <c r="B204" s="1137" t="s">
        <v>172</v>
      </c>
      <c r="C204" s="1145"/>
      <c r="D204" s="1145"/>
      <c r="E204" s="1358"/>
      <c r="F204" s="1145"/>
      <c r="G204" s="1145"/>
      <c r="H204" s="1145"/>
      <c r="I204" s="1356"/>
      <c r="J204" s="1356"/>
      <c r="K204" s="1356"/>
      <c r="L204" s="1479"/>
      <c r="M204" s="1544"/>
      <c r="N204" s="1616"/>
      <c r="O204" s="536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</row>
    <row r="205" spans="1:40" s="1453" customFormat="1" ht="12.75" customHeight="1" thickBot="1" x14ac:dyDescent="0.25">
      <c r="A205" s="1141"/>
      <c r="B205" s="1139" t="s">
        <v>392</v>
      </c>
      <c r="C205" s="1360"/>
      <c r="D205" s="1360"/>
      <c r="E205" s="1557">
        <f>SUM('6. sz.melléklet'!E54)</f>
        <v>1461</v>
      </c>
      <c r="F205" s="1360"/>
      <c r="G205" s="1360"/>
      <c r="H205" s="1360"/>
      <c r="I205" s="1361"/>
      <c r="J205" s="1361"/>
      <c r="K205" s="1361"/>
      <c r="L205" s="1480"/>
      <c r="M205" s="1361"/>
      <c r="N205" s="1615">
        <f>SUM(C205:M205)</f>
        <v>1461</v>
      </c>
      <c r="O205" s="536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</row>
    <row r="206" spans="1:40" s="112" customFormat="1" ht="0.2" customHeight="1" x14ac:dyDescent="0.2">
      <c r="A206" s="1522"/>
      <c r="B206" s="1520" t="s">
        <v>393</v>
      </c>
      <c r="C206" s="1523"/>
      <c r="D206" s="1523"/>
      <c r="E206" s="1547"/>
      <c r="F206" s="1523"/>
      <c r="G206" s="1523"/>
      <c r="H206" s="1523"/>
      <c r="I206" s="1544"/>
      <c r="J206" s="1544"/>
      <c r="K206" s="1544"/>
      <c r="L206" s="1545"/>
      <c r="M206" s="1499"/>
      <c r="N206" s="1498">
        <f>SUM(C206:M206)</f>
        <v>0</v>
      </c>
      <c r="O206" s="536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</row>
    <row r="207" spans="1:40" s="112" customFormat="1" ht="0.2" customHeight="1" x14ac:dyDescent="0.2">
      <c r="A207" s="1140"/>
      <c r="B207" s="1137" t="s">
        <v>391</v>
      </c>
      <c r="C207" s="1145"/>
      <c r="D207" s="1145"/>
      <c r="E207" s="1358"/>
      <c r="F207" s="1145"/>
      <c r="G207" s="1145"/>
      <c r="H207" s="1145"/>
      <c r="I207" s="1356"/>
      <c r="J207" s="1356"/>
      <c r="K207" s="1356"/>
      <c r="L207" s="1479"/>
      <c r="M207" s="1499"/>
      <c r="N207" s="1498">
        <f>SUM(C207:M207)</f>
        <v>0</v>
      </c>
      <c r="O207" s="536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</row>
    <row r="208" spans="1:40" s="112" customFormat="1" x14ac:dyDescent="0.2">
      <c r="A208" s="1140" t="s">
        <v>262</v>
      </c>
      <c r="B208" s="1137" t="s">
        <v>312</v>
      </c>
      <c r="C208" s="1145"/>
      <c r="D208" s="1145"/>
      <c r="E208" s="1358"/>
      <c r="F208" s="1145"/>
      <c r="G208" s="1145"/>
      <c r="H208" s="1145"/>
      <c r="I208" s="1356"/>
      <c r="J208" s="1356"/>
      <c r="K208" s="1356"/>
      <c r="L208" s="1479"/>
      <c r="M208" s="1544"/>
      <c r="N208" s="1616"/>
      <c r="O208" s="536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</row>
    <row r="209" spans="1:40" s="1453" customFormat="1" ht="13.5" thickBot="1" x14ac:dyDescent="0.25">
      <c r="A209" s="1141"/>
      <c r="B209" s="1139" t="s">
        <v>392</v>
      </c>
      <c r="C209" s="1360">
        <f>SUM('16.sz. melléklet'!C19)</f>
        <v>26077</v>
      </c>
      <c r="D209" s="1360">
        <f>SUM('16.sz. melléklet'!D19)</f>
        <v>7545</v>
      </c>
      <c r="E209" s="1557">
        <f>SUM('16.sz. melléklet'!E19)</f>
        <v>15815</v>
      </c>
      <c r="F209" s="1360"/>
      <c r="G209" s="1360"/>
      <c r="H209" s="1360">
        <f>SUM('16.sz. melléklet'!F19)</f>
        <v>1397</v>
      </c>
      <c r="I209" s="1361"/>
      <c r="J209" s="1361"/>
      <c r="K209" s="1361"/>
      <c r="L209" s="1480"/>
      <c r="M209" s="1361"/>
      <c r="N209" s="1615">
        <f>SUM(C209:M209)</f>
        <v>50834</v>
      </c>
      <c r="O209" s="536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</row>
    <row r="210" spans="1:40" s="112" customFormat="1" ht="0.2" customHeight="1" x14ac:dyDescent="0.2">
      <c r="A210" s="1522"/>
      <c r="B210" s="1520" t="s">
        <v>393</v>
      </c>
      <c r="C210" s="1523"/>
      <c r="D210" s="1523"/>
      <c r="E210" s="1547"/>
      <c r="F210" s="1523"/>
      <c r="G210" s="1523"/>
      <c r="H210" s="1523"/>
      <c r="I210" s="1544"/>
      <c r="J210" s="1544"/>
      <c r="K210" s="1544"/>
      <c r="L210" s="1545"/>
      <c r="M210" s="1499"/>
      <c r="N210" s="1498">
        <f>SUM(C210:M210)</f>
        <v>0</v>
      </c>
      <c r="O210" s="536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</row>
    <row r="211" spans="1:40" s="112" customFormat="1" ht="0.2" customHeight="1" x14ac:dyDescent="0.2">
      <c r="A211" s="1140"/>
      <c r="B211" s="1137" t="s">
        <v>391</v>
      </c>
      <c r="C211" s="1145"/>
      <c r="D211" s="1145"/>
      <c r="E211" s="1358"/>
      <c r="F211" s="1145"/>
      <c r="G211" s="1145"/>
      <c r="H211" s="1145"/>
      <c r="I211" s="1356"/>
      <c r="J211" s="1356"/>
      <c r="K211" s="1356"/>
      <c r="L211" s="1479"/>
      <c r="M211" s="1499"/>
      <c r="N211" s="1498">
        <f>SUM(C211:M211)</f>
        <v>0</v>
      </c>
      <c r="O211" s="536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</row>
    <row r="212" spans="1:40" s="112" customFormat="1" x14ac:dyDescent="0.2">
      <c r="A212" s="1140" t="s">
        <v>273</v>
      </c>
      <c r="B212" s="1137" t="s">
        <v>274</v>
      </c>
      <c r="C212" s="1145"/>
      <c r="D212" s="1145"/>
      <c r="E212" s="1145"/>
      <c r="F212" s="1145"/>
      <c r="G212" s="1145"/>
      <c r="H212" s="1145"/>
      <c r="I212" s="1356"/>
      <c r="J212" s="1356"/>
      <c r="K212" s="1356"/>
      <c r="L212" s="1479"/>
      <c r="M212" s="1544"/>
      <c r="N212" s="1616"/>
      <c r="O212" s="536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</row>
    <row r="213" spans="1:40" s="1453" customFormat="1" ht="13.5" thickBot="1" x14ac:dyDescent="0.25">
      <c r="A213" s="1141"/>
      <c r="B213" s="1139" t="s">
        <v>392</v>
      </c>
      <c r="C213" s="1360"/>
      <c r="D213" s="1360"/>
      <c r="E213" s="1360"/>
      <c r="F213" s="1360"/>
      <c r="G213" s="1360"/>
      <c r="H213" s="1360"/>
      <c r="I213" s="1361"/>
      <c r="J213" s="1361"/>
      <c r="K213" s="1361"/>
      <c r="L213" s="1480"/>
      <c r="M213" s="1361"/>
      <c r="N213" s="1615">
        <f>SUM(C213:M213)</f>
        <v>0</v>
      </c>
      <c r="O213" s="536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</row>
    <row r="214" spans="1:40" s="112" customFormat="1" ht="0.2" customHeight="1" x14ac:dyDescent="0.2">
      <c r="A214" s="1522"/>
      <c r="B214" s="1520" t="s">
        <v>393</v>
      </c>
      <c r="C214" s="1523"/>
      <c r="D214" s="1523"/>
      <c r="E214" s="1523"/>
      <c r="F214" s="1523"/>
      <c r="G214" s="1523"/>
      <c r="H214" s="1523"/>
      <c r="I214" s="1544"/>
      <c r="J214" s="1544"/>
      <c r="K214" s="1544"/>
      <c r="L214" s="1545"/>
      <c r="M214" s="1499"/>
      <c r="N214" s="1498">
        <f>SUM(C214:M214)</f>
        <v>0</v>
      </c>
      <c r="O214" s="536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</row>
    <row r="215" spans="1:40" s="112" customFormat="1" ht="0.2" customHeight="1" x14ac:dyDescent="0.2">
      <c r="A215" s="1140"/>
      <c r="B215" s="1137" t="s">
        <v>391</v>
      </c>
      <c r="C215" s="1145"/>
      <c r="D215" s="1145"/>
      <c r="E215" s="1145"/>
      <c r="F215" s="1145"/>
      <c r="G215" s="1145"/>
      <c r="H215" s="1145"/>
      <c r="I215" s="1356"/>
      <c r="J215" s="1356"/>
      <c r="K215" s="1356"/>
      <c r="L215" s="1479"/>
      <c r="M215" s="1499"/>
      <c r="N215" s="1498">
        <f>SUM(C215:M215)</f>
        <v>0</v>
      </c>
      <c r="O215" s="536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</row>
    <row r="216" spans="1:40" s="112" customFormat="1" x14ac:dyDescent="0.2">
      <c r="A216" s="1140" t="s">
        <v>275</v>
      </c>
      <c r="B216" s="1137" t="s">
        <v>113</v>
      </c>
      <c r="C216" s="1145"/>
      <c r="D216" s="1145"/>
      <c r="E216" s="1145"/>
      <c r="F216" s="1145"/>
      <c r="G216" s="1145"/>
      <c r="H216" s="1145"/>
      <c r="I216" s="1356"/>
      <c r="J216" s="1356"/>
      <c r="K216" s="1356"/>
      <c r="L216" s="1479"/>
      <c r="M216" s="1544"/>
      <c r="N216" s="1616"/>
      <c r="O216" s="536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</row>
    <row r="217" spans="1:40" s="1453" customFormat="1" ht="13.5" thickBot="1" x14ac:dyDescent="0.25">
      <c r="A217" s="1141"/>
      <c r="B217" s="1139" t="s">
        <v>392</v>
      </c>
      <c r="C217" s="1360"/>
      <c r="D217" s="1360"/>
      <c r="E217" s="1360">
        <f>SUM('6. sz.melléklet'!E66)</f>
        <v>19338</v>
      </c>
      <c r="F217" s="1360"/>
      <c r="G217" s="1360"/>
      <c r="H217" s="1360"/>
      <c r="I217" s="1361"/>
      <c r="J217" s="1361"/>
      <c r="K217" s="1361"/>
      <c r="L217" s="1480"/>
      <c r="M217" s="1361"/>
      <c r="N217" s="1615">
        <f>SUM(C217:M217)</f>
        <v>19338</v>
      </c>
      <c r="O217" s="536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</row>
    <row r="218" spans="1:40" s="112" customFormat="1" ht="0.2" customHeight="1" x14ac:dyDescent="0.2">
      <c r="A218" s="1522"/>
      <c r="B218" s="1520" t="s">
        <v>393</v>
      </c>
      <c r="C218" s="1523"/>
      <c r="D218" s="1523"/>
      <c r="E218" s="1523"/>
      <c r="F218" s="1523"/>
      <c r="G218" s="1523"/>
      <c r="H218" s="1523"/>
      <c r="I218" s="1544"/>
      <c r="J218" s="1544"/>
      <c r="K218" s="1544"/>
      <c r="L218" s="1545"/>
      <c r="M218" s="1499"/>
      <c r="N218" s="1498">
        <f>SUM(C218:M218)</f>
        <v>0</v>
      </c>
      <c r="O218" s="536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</row>
    <row r="219" spans="1:40" s="112" customFormat="1" ht="0.2" customHeight="1" x14ac:dyDescent="0.2">
      <c r="A219" s="1140"/>
      <c r="B219" s="1137" t="s">
        <v>391</v>
      </c>
      <c r="C219" s="1145"/>
      <c r="D219" s="1145"/>
      <c r="E219" s="1145"/>
      <c r="F219" s="1145"/>
      <c r="G219" s="1145"/>
      <c r="H219" s="1145"/>
      <c r="I219" s="1356"/>
      <c r="J219" s="1356"/>
      <c r="K219" s="1356"/>
      <c r="L219" s="1479"/>
      <c r="M219" s="1499"/>
      <c r="N219" s="1498">
        <f>SUM(C219:M219)</f>
        <v>0</v>
      </c>
      <c r="O219" s="536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</row>
    <row r="220" spans="1:40" s="112" customFormat="1" x14ac:dyDescent="0.2">
      <c r="A220" s="1140" t="s">
        <v>276</v>
      </c>
      <c r="B220" s="1137" t="s">
        <v>277</v>
      </c>
      <c r="C220" s="1145"/>
      <c r="D220" s="1145"/>
      <c r="E220" s="1145"/>
      <c r="F220" s="1145"/>
      <c r="G220" s="1145"/>
      <c r="H220" s="1145"/>
      <c r="I220" s="1356"/>
      <c r="J220" s="1356"/>
      <c r="K220" s="1356"/>
      <c r="L220" s="1479"/>
      <c r="M220" s="1544"/>
      <c r="N220" s="1616"/>
      <c r="O220" s="536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</row>
    <row r="221" spans="1:40" s="1453" customFormat="1" ht="13.5" thickBot="1" x14ac:dyDescent="0.25">
      <c r="A221" s="1141"/>
      <c r="B221" s="1139" t="s">
        <v>392</v>
      </c>
      <c r="C221" s="1360"/>
      <c r="D221" s="1360"/>
      <c r="E221" s="1360"/>
      <c r="F221" s="1360"/>
      <c r="G221" s="1360"/>
      <c r="H221" s="1360"/>
      <c r="I221" s="1361"/>
      <c r="J221" s="1361"/>
      <c r="K221" s="1361"/>
      <c r="L221" s="1480"/>
      <c r="M221" s="1361"/>
      <c r="N221" s="1615">
        <f>SUM(C221:M221)</f>
        <v>0</v>
      </c>
      <c r="O221" s="536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</row>
    <row r="222" spans="1:40" s="112" customFormat="1" ht="0.2" customHeight="1" x14ac:dyDescent="0.2">
      <c r="A222" s="1522"/>
      <c r="B222" s="1520" t="s">
        <v>393</v>
      </c>
      <c r="C222" s="1523"/>
      <c r="D222" s="1523"/>
      <c r="E222" s="1523"/>
      <c r="F222" s="1523"/>
      <c r="G222" s="1523"/>
      <c r="H222" s="1523"/>
      <c r="I222" s="1544"/>
      <c r="J222" s="1544"/>
      <c r="K222" s="1544"/>
      <c r="L222" s="1545"/>
      <c r="M222" s="1499"/>
      <c r="N222" s="1498">
        <f>SUM(C222:M222)</f>
        <v>0</v>
      </c>
      <c r="O222" s="536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</row>
    <row r="223" spans="1:40" s="112" customFormat="1" ht="0.2" customHeight="1" x14ac:dyDescent="0.2">
      <c r="A223" s="1140"/>
      <c r="B223" s="1137" t="s">
        <v>391</v>
      </c>
      <c r="C223" s="1145"/>
      <c r="D223" s="1145"/>
      <c r="E223" s="1145"/>
      <c r="F223" s="1145"/>
      <c r="G223" s="1145"/>
      <c r="H223" s="1145"/>
      <c r="I223" s="1356"/>
      <c r="J223" s="1356"/>
      <c r="K223" s="1356"/>
      <c r="L223" s="1479"/>
      <c r="M223" s="1499"/>
      <c r="N223" s="1498">
        <f>SUM(C223:M223)</f>
        <v>0</v>
      </c>
      <c r="O223" s="536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</row>
    <row r="224" spans="1:40" s="112" customFormat="1" ht="25.5" x14ac:dyDescent="0.2">
      <c r="A224" s="1140" t="s">
        <v>278</v>
      </c>
      <c r="B224" s="1137" t="s">
        <v>115</v>
      </c>
      <c r="C224" s="1145"/>
      <c r="D224" s="1145"/>
      <c r="E224" s="1145"/>
      <c r="F224" s="1145"/>
      <c r="G224" s="1145"/>
      <c r="H224" s="1145"/>
      <c r="I224" s="1356"/>
      <c r="J224" s="1356"/>
      <c r="K224" s="1356"/>
      <c r="L224" s="1479"/>
      <c r="M224" s="1544"/>
      <c r="N224" s="1616"/>
      <c r="O224" s="536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</row>
    <row r="225" spans="1:40" s="1453" customFormat="1" ht="13.5" thickBot="1" x14ac:dyDescent="0.25">
      <c r="A225" s="1141"/>
      <c r="B225" s="1139" t="s">
        <v>392</v>
      </c>
      <c r="C225" s="1360">
        <f>SUM('6. sz.melléklet'!C70)</f>
        <v>6092</v>
      </c>
      <c r="D225" s="1360">
        <f>SUM('6. sz.melléklet'!D70)</f>
        <v>1691</v>
      </c>
      <c r="E225" s="1360">
        <f>SUM('6. sz.melléklet'!E70)</f>
        <v>1629</v>
      </c>
      <c r="F225" s="1360"/>
      <c r="G225" s="1360"/>
      <c r="H225" s="1360">
        <f>SUM('6. sz.melléklet'!H70)</f>
        <v>530</v>
      </c>
      <c r="I225" s="1361"/>
      <c r="J225" s="1361"/>
      <c r="K225" s="1361"/>
      <c r="L225" s="1480"/>
      <c r="M225" s="1361"/>
      <c r="N225" s="1615">
        <f>SUM(C225:M225)</f>
        <v>9942</v>
      </c>
      <c r="O225" s="536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</row>
    <row r="226" spans="1:40" s="112" customFormat="1" ht="0.2" customHeight="1" x14ac:dyDescent="0.2">
      <c r="A226" s="1522"/>
      <c r="B226" s="1520" t="s">
        <v>393</v>
      </c>
      <c r="C226" s="1523"/>
      <c r="D226" s="1523"/>
      <c r="E226" s="1523"/>
      <c r="F226" s="1523"/>
      <c r="G226" s="1523"/>
      <c r="H226" s="1523"/>
      <c r="I226" s="1544"/>
      <c r="J226" s="1544"/>
      <c r="K226" s="1544"/>
      <c r="L226" s="1545"/>
      <c r="M226" s="1499"/>
      <c r="N226" s="1498">
        <f>SUM(C226:M226)</f>
        <v>0</v>
      </c>
      <c r="O226" s="536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</row>
    <row r="227" spans="1:40" s="112" customFormat="1" ht="0.2" customHeight="1" x14ac:dyDescent="0.2">
      <c r="A227" s="1140"/>
      <c r="B227" s="1137" t="s">
        <v>391</v>
      </c>
      <c r="C227" s="1145"/>
      <c r="D227" s="1145"/>
      <c r="E227" s="1145"/>
      <c r="F227" s="1145"/>
      <c r="G227" s="1145"/>
      <c r="H227" s="1145"/>
      <c r="I227" s="1356"/>
      <c r="J227" s="1356"/>
      <c r="K227" s="1356"/>
      <c r="L227" s="1479"/>
      <c r="M227" s="1499"/>
      <c r="N227" s="1498">
        <f>SUM(C227:M227)</f>
        <v>0</v>
      </c>
      <c r="O227" s="536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</row>
    <row r="228" spans="1:40" s="112" customFormat="1" x14ac:dyDescent="0.2">
      <c r="A228" s="1140" t="s">
        <v>279</v>
      </c>
      <c r="B228" s="1137" t="s">
        <v>114</v>
      </c>
      <c r="C228" s="1145"/>
      <c r="D228" s="1145"/>
      <c r="E228" s="1145"/>
      <c r="F228" s="1145"/>
      <c r="G228" s="1145"/>
      <c r="H228" s="1145"/>
      <c r="I228" s="1356"/>
      <c r="J228" s="1356"/>
      <c r="K228" s="1356"/>
      <c r="L228" s="1479"/>
      <c r="M228" s="1544"/>
      <c r="N228" s="1616"/>
      <c r="O228" s="536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</row>
    <row r="229" spans="1:40" s="1453" customFormat="1" ht="13.5" thickBot="1" x14ac:dyDescent="0.25">
      <c r="A229" s="1141"/>
      <c r="B229" s="1139" t="s">
        <v>392</v>
      </c>
      <c r="C229" s="1360">
        <f>SUM('6. sz.melléklet'!C74)</f>
        <v>368</v>
      </c>
      <c r="D229" s="1360">
        <f>SUM('6. sz.melléklet'!D74)</f>
        <v>99</v>
      </c>
      <c r="E229" s="1360"/>
      <c r="F229" s="1360"/>
      <c r="G229" s="1360"/>
      <c r="H229" s="1360"/>
      <c r="I229" s="1361"/>
      <c r="J229" s="1361"/>
      <c r="K229" s="1361"/>
      <c r="L229" s="1480"/>
      <c r="M229" s="1361"/>
      <c r="N229" s="1615">
        <f>SUM(C229:M229)</f>
        <v>467</v>
      </c>
      <c r="O229" s="536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</row>
    <row r="230" spans="1:40" s="112" customFormat="1" ht="0.2" customHeight="1" x14ac:dyDescent="0.2">
      <c r="A230" s="1522"/>
      <c r="B230" s="1520" t="s">
        <v>393</v>
      </c>
      <c r="C230" s="1523"/>
      <c r="D230" s="1523"/>
      <c r="E230" s="1523"/>
      <c r="F230" s="1523"/>
      <c r="G230" s="1523"/>
      <c r="H230" s="1523"/>
      <c r="I230" s="1544"/>
      <c r="J230" s="1544"/>
      <c r="K230" s="1544"/>
      <c r="L230" s="1545"/>
      <c r="M230" s="1499"/>
      <c r="N230" s="1498">
        <f>SUM(C230:M230)</f>
        <v>0</v>
      </c>
      <c r="O230" s="536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</row>
    <row r="231" spans="1:40" s="112" customFormat="1" ht="0.2" customHeight="1" x14ac:dyDescent="0.2">
      <c r="A231" s="1140"/>
      <c r="B231" s="1137" t="s">
        <v>391</v>
      </c>
      <c r="C231" s="1145"/>
      <c r="D231" s="1145"/>
      <c r="E231" s="1145"/>
      <c r="F231" s="1145"/>
      <c r="G231" s="1145"/>
      <c r="H231" s="1145"/>
      <c r="I231" s="1356"/>
      <c r="J231" s="1356"/>
      <c r="K231" s="1356"/>
      <c r="L231" s="1479"/>
      <c r="M231" s="1499"/>
      <c r="N231" s="1498">
        <f>SUM(C231:M231)</f>
        <v>0</v>
      </c>
      <c r="O231" s="536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</row>
    <row r="232" spans="1:40" s="112" customFormat="1" ht="24" customHeight="1" x14ac:dyDescent="0.2">
      <c r="A232" s="1140" t="s">
        <v>280</v>
      </c>
      <c r="B232" s="1137" t="s">
        <v>281</v>
      </c>
      <c r="C232" s="1145"/>
      <c r="D232" s="1145"/>
      <c r="E232" s="1145"/>
      <c r="F232" s="1145"/>
      <c r="G232" s="1145"/>
      <c r="H232" s="1145"/>
      <c r="I232" s="1356"/>
      <c r="J232" s="1356"/>
      <c r="K232" s="1356"/>
      <c r="L232" s="1479"/>
      <c r="M232" s="1544"/>
      <c r="N232" s="1616"/>
      <c r="O232" s="536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</row>
    <row r="233" spans="1:40" s="1453" customFormat="1" ht="15.75" customHeight="1" thickBot="1" x14ac:dyDescent="0.25">
      <c r="A233" s="1141"/>
      <c r="B233" s="1139" t="s">
        <v>392</v>
      </c>
      <c r="C233" s="1360">
        <f>SUM('6. sz.melléklet'!C78)</f>
        <v>520</v>
      </c>
      <c r="D233" s="1360">
        <f>SUM('6. sz.melléklet'!D78)</f>
        <v>140</v>
      </c>
      <c r="E233" s="1360">
        <f>SUM('6. sz.melléklet'!E78)</f>
        <v>534</v>
      </c>
      <c r="F233" s="1360"/>
      <c r="G233" s="1360"/>
      <c r="H233" s="1360"/>
      <c r="I233" s="1361"/>
      <c r="J233" s="1361"/>
      <c r="K233" s="1361"/>
      <c r="L233" s="1480"/>
      <c r="M233" s="1361"/>
      <c r="N233" s="1615">
        <f>SUM(C233:M233)</f>
        <v>1194</v>
      </c>
      <c r="O233" s="536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</row>
    <row r="234" spans="1:40" s="112" customFormat="1" ht="0.2" customHeight="1" x14ac:dyDescent="0.2">
      <c r="A234" s="1522"/>
      <c r="B234" s="1520" t="s">
        <v>393</v>
      </c>
      <c r="C234" s="1523"/>
      <c r="D234" s="1523"/>
      <c r="E234" s="1523"/>
      <c r="F234" s="1523"/>
      <c r="G234" s="1523"/>
      <c r="H234" s="1523"/>
      <c r="I234" s="1544"/>
      <c r="J234" s="1544"/>
      <c r="K234" s="1544"/>
      <c r="L234" s="1545"/>
      <c r="M234" s="1499"/>
      <c r="N234" s="1498">
        <f>SUM(C234:M234)</f>
        <v>0</v>
      </c>
      <c r="O234" s="536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</row>
    <row r="235" spans="1:40" s="112" customFormat="1" ht="0.2" customHeight="1" x14ac:dyDescent="0.2">
      <c r="A235" s="1140"/>
      <c r="B235" s="1137" t="s">
        <v>391</v>
      </c>
      <c r="C235" s="1145"/>
      <c r="D235" s="1145"/>
      <c r="E235" s="1145"/>
      <c r="F235" s="1145"/>
      <c r="G235" s="1145"/>
      <c r="H235" s="1145"/>
      <c r="I235" s="1356"/>
      <c r="J235" s="1356"/>
      <c r="K235" s="1356"/>
      <c r="L235" s="1479"/>
      <c r="M235" s="1499"/>
      <c r="N235" s="1498">
        <f>SUM(C235:M235)</f>
        <v>0</v>
      </c>
      <c r="O235" s="536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</row>
    <row r="236" spans="1:40" s="112" customFormat="1" ht="15.75" customHeight="1" x14ac:dyDescent="0.2">
      <c r="A236" s="1140" t="s">
        <v>319</v>
      </c>
      <c r="B236" s="1137" t="s">
        <v>320</v>
      </c>
      <c r="C236" s="1145"/>
      <c r="D236" s="1145"/>
      <c r="E236" s="1145"/>
      <c r="F236" s="1145"/>
      <c r="G236" s="1145"/>
      <c r="H236" s="1145"/>
      <c r="I236" s="1356"/>
      <c r="J236" s="1356"/>
      <c r="K236" s="1356"/>
      <c r="L236" s="1479"/>
      <c r="M236" s="1544"/>
      <c r="N236" s="1616"/>
      <c r="O236" s="536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</row>
    <row r="237" spans="1:40" s="1453" customFormat="1" ht="15.75" customHeight="1" thickBot="1" x14ac:dyDescent="0.25">
      <c r="A237" s="1141"/>
      <c r="B237" s="1139" t="s">
        <v>392</v>
      </c>
      <c r="C237" s="1360"/>
      <c r="D237" s="1360"/>
      <c r="E237" s="1360"/>
      <c r="F237" s="1360"/>
      <c r="G237" s="1360"/>
      <c r="H237" s="1360"/>
      <c r="I237" s="1361">
        <f>SUM('6. sz.melléklet'!I82)</f>
        <v>840</v>
      </c>
      <c r="J237" s="1361"/>
      <c r="K237" s="1361"/>
      <c r="L237" s="1480"/>
      <c r="M237" s="1361"/>
      <c r="N237" s="1615">
        <f>SUM(C237:M237)</f>
        <v>840</v>
      </c>
      <c r="O237" s="536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</row>
    <row r="238" spans="1:40" s="112" customFormat="1" ht="0.2" customHeight="1" x14ac:dyDescent="0.2">
      <c r="A238" s="1522"/>
      <c r="B238" s="1520" t="s">
        <v>393</v>
      </c>
      <c r="C238" s="1523"/>
      <c r="D238" s="1523"/>
      <c r="E238" s="1523"/>
      <c r="F238" s="1523"/>
      <c r="G238" s="1523"/>
      <c r="H238" s="1523"/>
      <c r="I238" s="1544"/>
      <c r="J238" s="1544"/>
      <c r="K238" s="1544"/>
      <c r="L238" s="1545"/>
      <c r="M238" s="1499"/>
      <c r="N238" s="1498">
        <f>SUM(C238:M238)</f>
        <v>0</v>
      </c>
      <c r="O238" s="536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</row>
    <row r="239" spans="1:40" s="112" customFormat="1" ht="0.2" customHeight="1" x14ac:dyDescent="0.2">
      <c r="A239" s="1140"/>
      <c r="B239" s="1137" t="s">
        <v>391</v>
      </c>
      <c r="C239" s="1145"/>
      <c r="D239" s="1145"/>
      <c r="E239" s="1145"/>
      <c r="F239" s="1145"/>
      <c r="G239" s="1145"/>
      <c r="H239" s="1145"/>
      <c r="I239" s="1356"/>
      <c r="J239" s="1356"/>
      <c r="K239" s="1356"/>
      <c r="L239" s="1479"/>
      <c r="M239" s="1499"/>
      <c r="N239" s="1498">
        <f>SUM(C239:M239)</f>
        <v>0</v>
      </c>
      <c r="O239" s="536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</row>
    <row r="240" spans="1:40" s="112" customFormat="1" ht="21" customHeight="1" x14ac:dyDescent="0.2">
      <c r="A240" s="1140" t="s">
        <v>321</v>
      </c>
      <c r="B240" s="1137" t="s">
        <v>322</v>
      </c>
      <c r="C240" s="1145"/>
      <c r="D240" s="1145"/>
      <c r="E240" s="1145"/>
      <c r="F240" s="1145"/>
      <c r="G240" s="1145"/>
      <c r="H240" s="1145"/>
      <c r="I240" s="1356"/>
      <c r="J240" s="1356"/>
      <c r="K240" s="1356"/>
      <c r="L240" s="1479"/>
      <c r="M240" s="1544"/>
      <c r="N240" s="1616"/>
      <c r="O240" s="536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</row>
    <row r="241" spans="1:40" s="1453" customFormat="1" ht="15.75" customHeight="1" thickBot="1" x14ac:dyDescent="0.25">
      <c r="A241" s="1141"/>
      <c r="B241" s="1139" t="s">
        <v>392</v>
      </c>
      <c r="C241" s="1360"/>
      <c r="D241" s="1360"/>
      <c r="E241" s="1360"/>
      <c r="F241" s="1360"/>
      <c r="G241" s="1360"/>
      <c r="H241" s="1360"/>
      <c r="I241" s="1361">
        <f>SUM('6. sz.melléklet'!I86)</f>
        <v>1500</v>
      </c>
      <c r="J241" s="1361"/>
      <c r="K241" s="1361"/>
      <c r="L241" s="1480"/>
      <c r="M241" s="1361"/>
      <c r="N241" s="1615">
        <f>SUM(C241:M241)</f>
        <v>1500</v>
      </c>
      <c r="O241" s="536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</row>
    <row r="242" spans="1:40" s="112" customFormat="1" ht="0.2" customHeight="1" x14ac:dyDescent="0.2">
      <c r="A242" s="1522"/>
      <c r="B242" s="1520" t="s">
        <v>393</v>
      </c>
      <c r="C242" s="1523"/>
      <c r="D242" s="1523"/>
      <c r="E242" s="1523"/>
      <c r="F242" s="1523"/>
      <c r="G242" s="1523"/>
      <c r="H242" s="1523"/>
      <c r="I242" s="1544"/>
      <c r="J242" s="1544"/>
      <c r="K242" s="1544"/>
      <c r="L242" s="1545"/>
      <c r="M242" s="1499"/>
      <c r="N242" s="1498">
        <f>SUM(C242:M242)</f>
        <v>0</v>
      </c>
      <c r="O242" s="536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</row>
    <row r="243" spans="1:40" s="112" customFormat="1" ht="0.2" customHeight="1" x14ac:dyDescent="0.2">
      <c r="A243" s="1140"/>
      <c r="B243" s="1137" t="s">
        <v>391</v>
      </c>
      <c r="C243" s="1145"/>
      <c r="D243" s="1145"/>
      <c r="E243" s="1145"/>
      <c r="F243" s="1145"/>
      <c r="G243" s="1145"/>
      <c r="H243" s="1145"/>
      <c r="I243" s="1356"/>
      <c r="J243" s="1356"/>
      <c r="K243" s="1356"/>
      <c r="L243" s="1479"/>
      <c r="M243" s="1499"/>
      <c r="N243" s="1498">
        <f>SUM(C243:M243)</f>
        <v>0</v>
      </c>
      <c r="O243" s="536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</row>
    <row r="244" spans="1:40" s="112" customFormat="1" x14ac:dyDescent="0.2">
      <c r="A244" s="1140" t="s">
        <v>254</v>
      </c>
      <c r="B244" s="1137" t="s">
        <v>4</v>
      </c>
      <c r="C244" s="1359"/>
      <c r="D244" s="1359"/>
      <c r="E244" s="1359"/>
      <c r="F244" s="1145"/>
      <c r="G244" s="1145"/>
      <c r="H244" s="1145"/>
      <c r="I244" s="1356"/>
      <c r="J244" s="1356"/>
      <c r="K244" s="1356"/>
      <c r="L244" s="1479"/>
      <c r="M244" s="1544"/>
      <c r="N244" s="1616"/>
      <c r="O244" s="536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</row>
    <row r="245" spans="1:40" s="1453" customFormat="1" ht="13.5" thickBot="1" x14ac:dyDescent="0.25">
      <c r="A245" s="1141"/>
      <c r="B245" s="1139" t="s">
        <v>392</v>
      </c>
      <c r="C245" s="1553">
        <f>SUM('15.sz.melléklet'!C11)</f>
        <v>4236</v>
      </c>
      <c r="D245" s="1553">
        <f>SUM('15.sz.melléklet'!D11)</f>
        <v>1185</v>
      </c>
      <c r="E245" s="1553">
        <f>SUM('15.sz.melléklet'!E11)</f>
        <v>275</v>
      </c>
      <c r="F245" s="1360"/>
      <c r="G245" s="1360"/>
      <c r="H245" s="1360">
        <f>SUM('15.sz.melléklet'!F11)</f>
        <v>1680</v>
      </c>
      <c r="I245" s="1361"/>
      <c r="J245" s="1361"/>
      <c r="K245" s="1361"/>
      <c r="L245" s="1480"/>
      <c r="M245" s="1361"/>
      <c r="N245" s="1615">
        <f>SUM(C245:M245)</f>
        <v>7376</v>
      </c>
      <c r="O245" s="536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</row>
    <row r="246" spans="1:40" s="112" customFormat="1" ht="0.2" customHeight="1" x14ac:dyDescent="0.2">
      <c r="A246" s="1522"/>
      <c r="B246" s="1520" t="s">
        <v>393</v>
      </c>
      <c r="C246" s="1541"/>
      <c r="D246" s="1541"/>
      <c r="E246" s="1541"/>
      <c r="F246" s="1523"/>
      <c r="G246" s="1523"/>
      <c r="H246" s="1523"/>
      <c r="I246" s="1544"/>
      <c r="J246" s="1544"/>
      <c r="K246" s="1544"/>
      <c r="L246" s="1545"/>
      <c r="M246" s="1499"/>
      <c r="N246" s="1498">
        <f>SUM(C246:M246)</f>
        <v>0</v>
      </c>
      <c r="O246" s="536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</row>
    <row r="247" spans="1:40" s="112" customFormat="1" ht="0.2" customHeight="1" x14ac:dyDescent="0.2">
      <c r="A247" s="1140"/>
      <c r="B247" s="1137" t="s">
        <v>391</v>
      </c>
      <c r="C247" s="1359"/>
      <c r="D247" s="1359"/>
      <c r="E247" s="1359"/>
      <c r="F247" s="1145"/>
      <c r="G247" s="1145"/>
      <c r="H247" s="1145"/>
      <c r="I247" s="1356"/>
      <c r="J247" s="1356"/>
      <c r="K247" s="1356"/>
      <c r="L247" s="1479"/>
      <c r="M247" s="1499"/>
      <c r="N247" s="1498">
        <f>SUM(C247:M247)</f>
        <v>0</v>
      </c>
      <c r="O247" s="536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</row>
    <row r="248" spans="1:40" s="112" customFormat="1" x14ac:dyDescent="0.2">
      <c r="A248" s="1140" t="s">
        <v>255</v>
      </c>
      <c r="B248" s="1137" t="s">
        <v>101</v>
      </c>
      <c r="C248" s="1359"/>
      <c r="D248" s="1359"/>
      <c r="E248" s="1359"/>
      <c r="F248" s="1145"/>
      <c r="G248" s="1145"/>
      <c r="H248" s="1145"/>
      <c r="I248" s="1356"/>
      <c r="J248" s="1356"/>
      <c r="K248" s="1356"/>
      <c r="L248" s="1479"/>
      <c r="M248" s="1544"/>
      <c r="N248" s="1616"/>
      <c r="O248" s="536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</row>
    <row r="249" spans="1:40" s="1453" customFormat="1" ht="13.5" thickBot="1" x14ac:dyDescent="0.25">
      <c r="A249" s="1141"/>
      <c r="B249" s="1139" t="s">
        <v>392</v>
      </c>
      <c r="C249" s="1553">
        <f>SUM('15.sz.melléklet'!C7)</f>
        <v>14647</v>
      </c>
      <c r="D249" s="1553">
        <f>SUM('15.sz.melléklet'!D7)</f>
        <v>4550</v>
      </c>
      <c r="E249" s="1553">
        <f>SUM('15.sz.melléklet'!E7)</f>
        <v>20965</v>
      </c>
      <c r="F249" s="1360"/>
      <c r="G249" s="1360"/>
      <c r="H249" s="1360">
        <f>SUM('15.sz.melléklet'!F7)</f>
        <v>3358</v>
      </c>
      <c r="I249" s="1361"/>
      <c r="J249" s="1361"/>
      <c r="K249" s="1361"/>
      <c r="L249" s="1480"/>
      <c r="M249" s="1361"/>
      <c r="N249" s="1615">
        <f>SUM(C249:M249)</f>
        <v>43520</v>
      </c>
      <c r="O249" s="536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</row>
    <row r="250" spans="1:40" s="112" customFormat="1" ht="0.2" customHeight="1" x14ac:dyDescent="0.2">
      <c r="A250" s="1522"/>
      <c r="B250" s="1520" t="s">
        <v>393</v>
      </c>
      <c r="C250" s="1541"/>
      <c r="D250" s="1541"/>
      <c r="E250" s="1541"/>
      <c r="F250" s="1523"/>
      <c r="G250" s="1523"/>
      <c r="H250" s="1523"/>
      <c r="I250" s="1544"/>
      <c r="J250" s="1544"/>
      <c r="K250" s="1544"/>
      <c r="L250" s="1545"/>
      <c r="M250" s="1499"/>
      <c r="N250" s="1498">
        <f>SUM(C250:M250)</f>
        <v>0</v>
      </c>
      <c r="O250" s="536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</row>
    <row r="251" spans="1:40" s="112" customFormat="1" ht="0.2" customHeight="1" x14ac:dyDescent="0.2">
      <c r="A251" s="1140"/>
      <c r="B251" s="1137" t="s">
        <v>391</v>
      </c>
      <c r="C251" s="1359"/>
      <c r="D251" s="1359"/>
      <c r="E251" s="1359"/>
      <c r="F251" s="1145"/>
      <c r="G251" s="1145"/>
      <c r="H251" s="1145"/>
      <c r="I251" s="1356"/>
      <c r="J251" s="1356"/>
      <c r="K251" s="1356"/>
      <c r="L251" s="1479"/>
      <c r="M251" s="1499"/>
      <c r="N251" s="1498">
        <f>SUM(C251:M251)</f>
        <v>0</v>
      </c>
      <c r="O251" s="536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</row>
    <row r="252" spans="1:40" s="112" customFormat="1" ht="15.75" customHeight="1" x14ac:dyDescent="0.2">
      <c r="A252" s="1140" t="s">
        <v>282</v>
      </c>
      <c r="B252" s="1137" t="s">
        <v>283</v>
      </c>
      <c r="C252" s="1145"/>
      <c r="D252" s="1145"/>
      <c r="E252" s="1145"/>
      <c r="F252" s="1145"/>
      <c r="G252" s="1145"/>
      <c r="H252" s="1145"/>
      <c r="I252" s="1356"/>
      <c r="J252" s="1356"/>
      <c r="K252" s="1356"/>
      <c r="L252" s="1479"/>
      <c r="M252" s="1544"/>
      <c r="N252" s="1616"/>
      <c r="O252" s="536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</row>
    <row r="253" spans="1:40" s="1453" customFormat="1" ht="15.75" customHeight="1" thickBot="1" x14ac:dyDescent="0.25">
      <c r="A253" s="1141"/>
      <c r="B253" s="1139" t="s">
        <v>392</v>
      </c>
      <c r="C253" s="1360"/>
      <c r="D253" s="1360"/>
      <c r="E253" s="1360">
        <f>SUM('6. sz.melléklet'!E90)</f>
        <v>3990</v>
      </c>
      <c r="F253" s="1360"/>
      <c r="G253" s="1360"/>
      <c r="H253" s="1360"/>
      <c r="I253" s="1361"/>
      <c r="J253" s="1361"/>
      <c r="K253" s="1361"/>
      <c r="L253" s="1480"/>
      <c r="M253" s="1361"/>
      <c r="N253" s="1615">
        <f>SUM(C253:M253)</f>
        <v>3990</v>
      </c>
      <c r="O253" s="536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</row>
    <row r="254" spans="1:40" s="112" customFormat="1" ht="0.2" customHeight="1" x14ac:dyDescent="0.2">
      <c r="A254" s="1522"/>
      <c r="B254" s="1520" t="s">
        <v>393</v>
      </c>
      <c r="C254" s="1523"/>
      <c r="D254" s="1523"/>
      <c r="E254" s="1523"/>
      <c r="F254" s="1523"/>
      <c r="G254" s="1523"/>
      <c r="H254" s="1523"/>
      <c r="I254" s="1544"/>
      <c r="J254" s="1544"/>
      <c r="K254" s="1544"/>
      <c r="L254" s="1545"/>
      <c r="M254" s="1499"/>
      <c r="N254" s="1498">
        <f>SUM(C254:M254)</f>
        <v>0</v>
      </c>
      <c r="O254" s="536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</row>
    <row r="255" spans="1:40" s="112" customFormat="1" ht="0.2" customHeight="1" x14ac:dyDescent="0.2">
      <c r="A255" s="1140"/>
      <c r="B255" s="1137" t="s">
        <v>391</v>
      </c>
      <c r="C255" s="1145"/>
      <c r="D255" s="1145"/>
      <c r="E255" s="1145"/>
      <c r="F255" s="1145"/>
      <c r="G255" s="1145"/>
      <c r="H255" s="1145"/>
      <c r="I255" s="1356"/>
      <c r="J255" s="1356"/>
      <c r="K255" s="1356"/>
      <c r="L255" s="1479"/>
      <c r="M255" s="1499"/>
      <c r="N255" s="1498">
        <f>SUM(C255:M255)</f>
        <v>0</v>
      </c>
      <c r="O255" s="536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</row>
    <row r="256" spans="1:40" s="112" customFormat="1" ht="25.5" x14ac:dyDescent="0.2">
      <c r="A256" s="1140" t="s">
        <v>300</v>
      </c>
      <c r="B256" s="1137" t="s">
        <v>139</v>
      </c>
      <c r="C256" s="1145"/>
      <c r="D256" s="1145"/>
      <c r="E256" s="1145"/>
      <c r="F256" s="1145"/>
      <c r="G256" s="1145"/>
      <c r="H256" s="1145"/>
      <c r="I256" s="1356"/>
      <c r="J256" s="1356"/>
      <c r="K256" s="1356"/>
      <c r="L256" s="1479"/>
      <c r="M256" s="1544"/>
      <c r="N256" s="1616"/>
      <c r="O256" s="536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</row>
    <row r="257" spans="1:40" s="1453" customFormat="1" ht="13.5" thickBot="1" x14ac:dyDescent="0.25">
      <c r="A257" s="1141"/>
      <c r="B257" s="1139" t="s">
        <v>392</v>
      </c>
      <c r="C257" s="1360"/>
      <c r="D257" s="1360"/>
      <c r="E257" s="1360"/>
      <c r="F257" s="1360"/>
      <c r="G257" s="1360"/>
      <c r="H257" s="1360"/>
      <c r="I257" s="1361">
        <f>SUM('6. sz.melléklet'!I94)</f>
        <v>23145</v>
      </c>
      <c r="J257" s="1361"/>
      <c r="K257" s="1361"/>
      <c r="L257" s="1480"/>
      <c r="M257" s="1361"/>
      <c r="N257" s="1615">
        <f>SUM(C257:M257)</f>
        <v>23145</v>
      </c>
      <c r="O257" s="536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</row>
    <row r="258" spans="1:40" s="112" customFormat="1" ht="0.2" customHeight="1" x14ac:dyDescent="0.2">
      <c r="A258" s="1522"/>
      <c r="B258" s="1520" t="s">
        <v>393</v>
      </c>
      <c r="C258" s="1523"/>
      <c r="D258" s="1523"/>
      <c r="E258" s="1523"/>
      <c r="F258" s="1523"/>
      <c r="G258" s="1523"/>
      <c r="H258" s="1523"/>
      <c r="I258" s="1544"/>
      <c r="J258" s="1544"/>
      <c r="K258" s="1544"/>
      <c r="L258" s="1545"/>
      <c r="M258" s="1499"/>
      <c r="N258" s="1498">
        <f>SUM(C258:M258)</f>
        <v>0</v>
      </c>
      <c r="O258" s="536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</row>
    <row r="259" spans="1:40" s="112" customFormat="1" ht="0.2" customHeight="1" x14ac:dyDescent="0.2">
      <c r="A259" s="1140"/>
      <c r="B259" s="1137" t="s">
        <v>391</v>
      </c>
      <c r="C259" s="1145"/>
      <c r="D259" s="1145"/>
      <c r="E259" s="1145"/>
      <c r="F259" s="1145"/>
      <c r="G259" s="1145"/>
      <c r="H259" s="1145"/>
      <c r="I259" s="1356"/>
      <c r="J259" s="1356"/>
      <c r="K259" s="1356"/>
      <c r="L259" s="1479"/>
      <c r="M259" s="1499"/>
      <c r="N259" s="1498">
        <f>SUM(C259:M259)</f>
        <v>0</v>
      </c>
      <c r="O259" s="536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</row>
    <row r="260" spans="1:40" s="112" customFormat="1" ht="25.5" x14ac:dyDescent="0.2">
      <c r="A260" s="1140" t="s">
        <v>301</v>
      </c>
      <c r="B260" s="1137" t="s">
        <v>302</v>
      </c>
      <c r="C260" s="1145"/>
      <c r="D260" s="1145"/>
      <c r="E260" s="1145"/>
      <c r="F260" s="1145"/>
      <c r="G260" s="1145"/>
      <c r="H260" s="1145"/>
      <c r="I260" s="1356"/>
      <c r="J260" s="1356"/>
      <c r="K260" s="1356"/>
      <c r="L260" s="1479"/>
      <c r="M260" s="1544"/>
      <c r="N260" s="1616"/>
      <c r="O260" s="536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</row>
    <row r="261" spans="1:40" s="1453" customFormat="1" ht="15.75" customHeight="1" thickBot="1" x14ac:dyDescent="0.25">
      <c r="A261" s="1141"/>
      <c r="B261" s="1139" t="s">
        <v>392</v>
      </c>
      <c r="C261" s="1360"/>
      <c r="D261" s="1360"/>
      <c r="E261" s="1360"/>
      <c r="F261" s="1360"/>
      <c r="G261" s="1360"/>
      <c r="H261" s="1360"/>
      <c r="I261" s="1361"/>
      <c r="J261" s="1361">
        <f>SUM('6. sz.melléklet'!J98)</f>
        <v>169055</v>
      </c>
      <c r="K261" s="1361"/>
      <c r="L261" s="1480"/>
      <c r="M261" s="1361"/>
      <c r="N261" s="1615">
        <f>SUM(C261:M261)</f>
        <v>169055</v>
      </c>
      <c r="O261" s="536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</row>
    <row r="262" spans="1:40" s="112" customFormat="1" ht="0.2" customHeight="1" x14ac:dyDescent="0.2">
      <c r="A262" s="1522"/>
      <c r="B262" s="1520" t="s">
        <v>393</v>
      </c>
      <c r="C262" s="1523"/>
      <c r="D262" s="1523"/>
      <c r="E262" s="1523"/>
      <c r="F262" s="1523"/>
      <c r="G262" s="1523"/>
      <c r="H262" s="1523"/>
      <c r="I262" s="1544"/>
      <c r="J262" s="1544"/>
      <c r="K262" s="1544"/>
      <c r="L262" s="1545"/>
      <c r="M262" s="1499"/>
      <c r="N262" s="1498">
        <f>SUM(C262:M262)</f>
        <v>0</v>
      </c>
      <c r="O262" s="536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</row>
    <row r="263" spans="1:40" s="112" customFormat="1" ht="0.2" customHeight="1" x14ac:dyDescent="0.2">
      <c r="A263" s="1140"/>
      <c r="B263" s="1137" t="s">
        <v>391</v>
      </c>
      <c r="C263" s="1145"/>
      <c r="D263" s="1145"/>
      <c r="E263" s="1145"/>
      <c r="F263" s="1145"/>
      <c r="G263" s="1145"/>
      <c r="H263" s="1145"/>
      <c r="I263" s="1356"/>
      <c r="J263" s="1356"/>
      <c r="K263" s="1356"/>
      <c r="L263" s="1479"/>
      <c r="M263" s="1499"/>
      <c r="N263" s="1498">
        <f>SUM(C263:M263)</f>
        <v>0</v>
      </c>
      <c r="O263" s="536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</row>
    <row r="264" spans="1:40" s="112" customFormat="1" ht="21.75" customHeight="1" x14ac:dyDescent="0.2">
      <c r="A264" s="1140" t="s">
        <v>247</v>
      </c>
      <c r="B264" s="1137" t="s">
        <v>248</v>
      </c>
      <c r="C264" s="1359"/>
      <c r="D264" s="1359"/>
      <c r="E264" s="1359"/>
      <c r="F264" s="1359"/>
      <c r="G264" s="1145"/>
      <c r="H264" s="1145"/>
      <c r="I264" s="1356"/>
      <c r="J264" s="1356"/>
      <c r="K264" s="1356"/>
      <c r="L264" s="1479"/>
      <c r="M264" s="1544"/>
      <c r="N264" s="1616"/>
      <c r="O264" s="536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</row>
    <row r="265" spans="1:40" s="1453" customFormat="1" ht="13.5" customHeight="1" thickBot="1" x14ac:dyDescent="0.25">
      <c r="A265" s="1141"/>
      <c r="B265" s="1139" t="s">
        <v>392</v>
      </c>
      <c r="C265" s="1553">
        <f>SUM('14.sz.melléklet'!C7)</f>
        <v>78798</v>
      </c>
      <c r="D265" s="1553">
        <f>SUM('14.sz.melléklet'!D7)</f>
        <v>22103</v>
      </c>
      <c r="E265" s="1553">
        <f>SUM('14.sz.melléklet'!E7)</f>
        <v>1220</v>
      </c>
      <c r="F265" s="1553"/>
      <c r="G265" s="1360"/>
      <c r="H265" s="1360">
        <f>SUM('14.sz.melléklet'!F7)</f>
        <v>970</v>
      </c>
      <c r="I265" s="1361"/>
      <c r="J265" s="1361"/>
      <c r="K265" s="1361"/>
      <c r="L265" s="1480"/>
      <c r="M265" s="1361"/>
      <c r="N265" s="1615">
        <f>SUM(C265:M265)</f>
        <v>103091</v>
      </c>
      <c r="O265" s="536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</row>
    <row r="266" spans="1:40" s="112" customFormat="1" ht="0.2" customHeight="1" x14ac:dyDescent="0.2">
      <c r="A266" s="1522"/>
      <c r="B266" s="1520" t="s">
        <v>393</v>
      </c>
      <c r="C266" s="1541"/>
      <c r="D266" s="1541"/>
      <c r="E266" s="1541"/>
      <c r="F266" s="1541"/>
      <c r="G266" s="1523"/>
      <c r="H266" s="1523"/>
      <c r="I266" s="1544"/>
      <c r="J266" s="1544"/>
      <c r="K266" s="1544"/>
      <c r="L266" s="1545"/>
      <c r="M266" s="1499"/>
      <c r="N266" s="1498">
        <f>SUM(C266:M266)</f>
        <v>0</v>
      </c>
      <c r="O266" s="536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</row>
    <row r="267" spans="1:40" s="112" customFormat="1" ht="0.2" customHeight="1" x14ac:dyDescent="0.2">
      <c r="A267" s="1140"/>
      <c r="B267" s="1137" t="s">
        <v>391</v>
      </c>
      <c r="C267" s="1359"/>
      <c r="D267" s="1359"/>
      <c r="E267" s="1359"/>
      <c r="F267" s="1359"/>
      <c r="G267" s="1145"/>
      <c r="H267" s="1145"/>
      <c r="I267" s="1356"/>
      <c r="J267" s="1356"/>
      <c r="K267" s="1356"/>
      <c r="L267" s="1479"/>
      <c r="M267" s="1499"/>
      <c r="N267" s="1498">
        <f>SUM(C267:M267)</f>
        <v>0</v>
      </c>
      <c r="O267" s="536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</row>
    <row r="268" spans="1:40" s="112" customFormat="1" ht="25.5" x14ac:dyDescent="0.2">
      <c r="A268" s="1140" t="s">
        <v>251</v>
      </c>
      <c r="B268" s="1137" t="s">
        <v>252</v>
      </c>
      <c r="C268" s="1359"/>
      <c r="D268" s="1359"/>
      <c r="E268" s="1359"/>
      <c r="F268" s="1359"/>
      <c r="G268" s="1145"/>
      <c r="H268" s="1145"/>
      <c r="I268" s="1356"/>
      <c r="J268" s="1356"/>
      <c r="K268" s="1356"/>
      <c r="L268" s="1479"/>
      <c r="M268" s="1544"/>
      <c r="N268" s="1616"/>
      <c r="O268" s="536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</row>
    <row r="269" spans="1:40" s="1453" customFormat="1" ht="13.5" thickBot="1" x14ac:dyDescent="0.25">
      <c r="A269" s="1141"/>
      <c r="B269" s="1139" t="s">
        <v>392</v>
      </c>
      <c r="C269" s="1553"/>
      <c r="D269" s="1553">
        <f>SUM('14.sz.melléklet'!D11)</f>
        <v>233</v>
      </c>
      <c r="E269" s="1553">
        <f>SUM('14.sz.melléklet'!E11)</f>
        <v>864</v>
      </c>
      <c r="F269" s="1553"/>
      <c r="G269" s="1360"/>
      <c r="H269" s="1360"/>
      <c r="I269" s="1361"/>
      <c r="J269" s="1361"/>
      <c r="K269" s="1361"/>
      <c r="L269" s="1480"/>
      <c r="M269" s="1361"/>
      <c r="N269" s="1615">
        <f>SUM(C269:M269)</f>
        <v>1097</v>
      </c>
      <c r="O269" s="536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</row>
    <row r="270" spans="1:40" s="112" customFormat="1" ht="0.2" customHeight="1" x14ac:dyDescent="0.2">
      <c r="A270" s="1522"/>
      <c r="B270" s="1520" t="s">
        <v>393</v>
      </c>
      <c r="C270" s="1541"/>
      <c r="D270" s="1541"/>
      <c r="E270" s="1541"/>
      <c r="F270" s="1541"/>
      <c r="G270" s="1523"/>
      <c r="H270" s="1523"/>
      <c r="I270" s="1544"/>
      <c r="J270" s="1544"/>
      <c r="K270" s="1544"/>
      <c r="L270" s="1545"/>
      <c r="M270" s="1499"/>
      <c r="N270" s="1498">
        <f>SUM(C270:M270)</f>
        <v>0</v>
      </c>
      <c r="O270" s="536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</row>
    <row r="271" spans="1:40" s="112" customFormat="1" ht="0.2" customHeight="1" x14ac:dyDescent="0.2">
      <c r="A271" s="1140"/>
      <c r="B271" s="1137" t="s">
        <v>391</v>
      </c>
      <c r="C271" s="1359"/>
      <c r="D271" s="1359"/>
      <c r="E271" s="1359"/>
      <c r="F271" s="1359"/>
      <c r="G271" s="1145"/>
      <c r="H271" s="1145"/>
      <c r="I271" s="1356"/>
      <c r="J271" s="1356"/>
      <c r="K271" s="1356"/>
      <c r="L271" s="1479"/>
      <c r="M271" s="1499"/>
      <c r="N271" s="1498">
        <f>SUM(C271:M271)</f>
        <v>0</v>
      </c>
      <c r="O271" s="536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</row>
    <row r="272" spans="1:40" s="112" customFormat="1" ht="25.5" x14ac:dyDescent="0.2">
      <c r="A272" s="1140" t="s">
        <v>249</v>
      </c>
      <c r="B272" s="1137" t="s">
        <v>250</v>
      </c>
      <c r="C272" s="1359"/>
      <c r="D272" s="1359"/>
      <c r="E272" s="1359"/>
      <c r="F272" s="1359"/>
      <c r="G272" s="1145"/>
      <c r="H272" s="1145"/>
      <c r="I272" s="1356"/>
      <c r="J272" s="1356"/>
      <c r="K272" s="1356"/>
      <c r="L272" s="1479"/>
      <c r="M272" s="1544"/>
      <c r="N272" s="1616"/>
      <c r="O272" s="536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</row>
    <row r="273" spans="1:40" s="1453" customFormat="1" ht="18" customHeight="1" thickBot="1" x14ac:dyDescent="0.25">
      <c r="A273" s="1141"/>
      <c r="B273" s="1139" t="s">
        <v>392</v>
      </c>
      <c r="C273" s="1553">
        <f>SUM('14.sz.melléklet'!C15)</f>
        <v>2030</v>
      </c>
      <c r="D273" s="1553">
        <f>SUM('14.sz.melléklet'!D15)</f>
        <v>636</v>
      </c>
      <c r="E273" s="1553">
        <f>SUM('14.sz.melléklet'!E15)</f>
        <v>13487</v>
      </c>
      <c r="F273" s="1553"/>
      <c r="G273" s="1360"/>
      <c r="H273" s="1360">
        <f>SUM('14.sz.melléklet'!F15)</f>
        <v>1107</v>
      </c>
      <c r="I273" s="1361"/>
      <c r="J273" s="1361"/>
      <c r="K273" s="1361"/>
      <c r="L273" s="1480"/>
      <c r="M273" s="1361"/>
      <c r="N273" s="1615">
        <f>SUM(C273:M273)</f>
        <v>17260</v>
      </c>
      <c r="O273" s="536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</row>
    <row r="274" spans="1:40" s="112" customFormat="1" ht="0.2" customHeight="1" x14ac:dyDescent="0.2">
      <c r="A274" s="1522"/>
      <c r="B274" s="1520" t="s">
        <v>393</v>
      </c>
      <c r="C274" s="1541"/>
      <c r="D274" s="1541"/>
      <c r="E274" s="1541"/>
      <c r="F274" s="1541"/>
      <c r="G274" s="1523"/>
      <c r="H274" s="1523"/>
      <c r="I274" s="1544"/>
      <c r="J274" s="1544"/>
      <c r="K274" s="1544"/>
      <c r="L274" s="1545"/>
      <c r="M274" s="1499"/>
      <c r="N274" s="1498">
        <f>SUM(C274:M274)</f>
        <v>0</v>
      </c>
      <c r="O274" s="536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</row>
    <row r="275" spans="1:40" s="112" customFormat="1" ht="0.2" customHeight="1" x14ac:dyDescent="0.2">
      <c r="A275" s="1140"/>
      <c r="B275" s="1137" t="s">
        <v>391</v>
      </c>
      <c r="C275" s="1359"/>
      <c r="D275" s="1359"/>
      <c r="E275" s="1359"/>
      <c r="F275" s="1359"/>
      <c r="G275" s="1145"/>
      <c r="H275" s="1145"/>
      <c r="I275" s="1356"/>
      <c r="J275" s="1356"/>
      <c r="K275" s="1356"/>
      <c r="L275" s="1479"/>
      <c r="M275" s="1499"/>
      <c r="N275" s="1498">
        <f>SUM(C275:M275)</f>
        <v>0</v>
      </c>
      <c r="O275" s="536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</row>
    <row r="276" spans="1:40" s="112" customFormat="1" ht="17.25" customHeight="1" x14ac:dyDescent="0.2">
      <c r="A276" s="1140" t="s">
        <v>426</v>
      </c>
      <c r="B276" s="1137" t="s">
        <v>434</v>
      </c>
      <c r="C276" s="1359"/>
      <c r="D276" s="1359"/>
      <c r="E276" s="1359"/>
      <c r="F276" s="1359"/>
      <c r="G276" s="1145"/>
      <c r="H276" s="1145"/>
      <c r="I276" s="1356"/>
      <c r="J276" s="1356"/>
      <c r="K276" s="1356"/>
      <c r="L276" s="1479"/>
      <c r="M276" s="1544"/>
      <c r="N276" s="1616"/>
      <c r="O276" s="536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</row>
    <row r="277" spans="1:40" s="1453" customFormat="1" ht="15" customHeight="1" thickBot="1" x14ac:dyDescent="0.25">
      <c r="A277" s="1141"/>
      <c r="B277" s="1139" t="s">
        <v>392</v>
      </c>
      <c r="C277" s="1553"/>
      <c r="D277" s="1553"/>
      <c r="E277" s="1553">
        <f>SUM('6. sz.melléklet'!E114+'14.sz.melléklet'!E19)</f>
        <v>53433</v>
      </c>
      <c r="F277" s="1553"/>
      <c r="G277" s="1360"/>
      <c r="H277" s="1360"/>
      <c r="I277" s="1361"/>
      <c r="J277" s="1361"/>
      <c r="K277" s="1361"/>
      <c r="L277" s="1480"/>
      <c r="M277" s="1361"/>
      <c r="N277" s="1615">
        <f>SUM(C277:M277)</f>
        <v>53433</v>
      </c>
      <c r="O277" s="536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10"/>
      <c r="AK277" s="110"/>
      <c r="AL277" s="110"/>
      <c r="AM277" s="110"/>
      <c r="AN277" s="110"/>
    </row>
    <row r="278" spans="1:40" s="112" customFormat="1" ht="0.2" customHeight="1" x14ac:dyDescent="0.2">
      <c r="A278" s="1522"/>
      <c r="B278" s="1520" t="s">
        <v>393</v>
      </c>
      <c r="C278" s="1541"/>
      <c r="D278" s="1541"/>
      <c r="E278" s="1541"/>
      <c r="F278" s="1541"/>
      <c r="G278" s="1523"/>
      <c r="H278" s="1523"/>
      <c r="I278" s="1544"/>
      <c r="J278" s="1544"/>
      <c r="K278" s="1544"/>
      <c r="L278" s="1545"/>
      <c r="M278" s="1499"/>
      <c r="N278" s="1498">
        <f>SUM(C278:M278)</f>
        <v>0</v>
      </c>
      <c r="O278" s="536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</row>
    <row r="279" spans="1:40" s="112" customFormat="1" ht="0.2" customHeight="1" x14ac:dyDescent="0.2">
      <c r="A279" s="1140"/>
      <c r="B279" s="1137" t="s">
        <v>391</v>
      </c>
      <c r="C279" s="1359"/>
      <c r="D279" s="1359"/>
      <c r="E279" s="1359"/>
      <c r="F279" s="1359"/>
      <c r="G279" s="1145"/>
      <c r="H279" s="1145"/>
      <c r="I279" s="1356"/>
      <c r="J279" s="1356"/>
      <c r="K279" s="1356"/>
      <c r="L279" s="1479"/>
      <c r="M279" s="1499"/>
      <c r="N279" s="1498">
        <f>SUM(C279:M279)</f>
        <v>0</v>
      </c>
      <c r="O279" s="536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  <c r="AJ279" s="110"/>
      <c r="AK279" s="110"/>
      <c r="AL279" s="110"/>
      <c r="AM279" s="110"/>
      <c r="AN279" s="110"/>
    </row>
    <row r="280" spans="1:40" s="112" customFormat="1" ht="15" customHeight="1" x14ac:dyDescent="0.2">
      <c r="A280" s="1140" t="s">
        <v>593</v>
      </c>
      <c r="B280" s="1137" t="s">
        <v>595</v>
      </c>
      <c r="C280" s="1359"/>
      <c r="D280" s="1359"/>
      <c r="E280" s="1359"/>
      <c r="F280" s="1359"/>
      <c r="G280" s="1145"/>
      <c r="H280" s="1145"/>
      <c r="I280" s="1356"/>
      <c r="J280" s="1356"/>
      <c r="K280" s="1356"/>
      <c r="L280" s="1479"/>
      <c r="M280" s="1544"/>
      <c r="N280" s="1795"/>
      <c r="O280" s="536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  <c r="AJ280" s="110"/>
      <c r="AK280" s="110"/>
      <c r="AL280" s="110"/>
      <c r="AM280" s="110"/>
      <c r="AN280" s="110"/>
    </row>
    <row r="281" spans="1:40" s="112" customFormat="1" ht="15" customHeight="1" thickBot="1" x14ac:dyDescent="0.25">
      <c r="A281" s="1141"/>
      <c r="B281" s="1139" t="s">
        <v>392</v>
      </c>
      <c r="C281" s="1553"/>
      <c r="D281" s="1553"/>
      <c r="E281" s="1553">
        <f>SUM('6. sz.melléklet'!E118)</f>
        <v>489</v>
      </c>
      <c r="F281" s="1553"/>
      <c r="G281" s="1360"/>
      <c r="H281" s="1360"/>
      <c r="I281" s="1361"/>
      <c r="J281" s="1361"/>
      <c r="K281" s="1361"/>
      <c r="L281" s="1361"/>
      <c r="M281" s="1361"/>
      <c r="N281" s="1778">
        <f>SUM(C281:M281)</f>
        <v>489</v>
      </c>
      <c r="O281" s="536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</row>
    <row r="282" spans="1:40" s="112" customFormat="1" ht="15.75" customHeight="1" x14ac:dyDescent="0.2">
      <c r="A282" s="1522" t="s">
        <v>284</v>
      </c>
      <c r="B282" s="1520" t="s">
        <v>117</v>
      </c>
      <c r="C282" s="1523"/>
      <c r="D282" s="1523"/>
      <c r="E282" s="1523"/>
      <c r="F282" s="1523"/>
      <c r="G282" s="1523"/>
      <c r="H282" s="1523"/>
      <c r="I282" s="1544"/>
      <c r="J282" s="1544"/>
      <c r="K282" s="1544"/>
      <c r="L282" s="1545"/>
      <c r="M282" s="1544"/>
      <c r="N282" s="1616"/>
      <c r="O282" s="536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</row>
    <row r="283" spans="1:40" s="1453" customFormat="1" ht="15.75" customHeight="1" thickBot="1" x14ac:dyDescent="0.25">
      <c r="A283" s="1141"/>
      <c r="B283" s="1139" t="s">
        <v>392</v>
      </c>
      <c r="C283" s="1360"/>
      <c r="D283" s="1360"/>
      <c r="E283" s="1360"/>
      <c r="F283" s="1360"/>
      <c r="G283" s="1360"/>
      <c r="H283" s="1360"/>
      <c r="I283" s="1361"/>
      <c r="J283" s="1361"/>
      <c r="K283" s="1361"/>
      <c r="L283" s="1480"/>
      <c r="M283" s="1361"/>
      <c r="N283" s="1615">
        <f>SUM(C283:M283)</f>
        <v>0</v>
      </c>
      <c r="O283" s="536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</row>
    <row r="284" spans="1:40" s="112" customFormat="1" ht="0.2" customHeight="1" x14ac:dyDescent="0.2">
      <c r="A284" s="1522"/>
      <c r="B284" s="1520" t="s">
        <v>393</v>
      </c>
      <c r="C284" s="1523"/>
      <c r="D284" s="1523"/>
      <c r="E284" s="1523"/>
      <c r="F284" s="1523"/>
      <c r="G284" s="1523"/>
      <c r="H284" s="1523"/>
      <c r="I284" s="1544"/>
      <c r="J284" s="1544"/>
      <c r="K284" s="1544"/>
      <c r="L284" s="1545"/>
      <c r="M284" s="1499"/>
      <c r="N284" s="1498">
        <f>SUM(C284:M284)</f>
        <v>0</v>
      </c>
      <c r="O284" s="536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  <c r="AJ284" s="110"/>
      <c r="AK284" s="110"/>
      <c r="AL284" s="110"/>
      <c r="AM284" s="110"/>
      <c r="AN284" s="110"/>
    </row>
    <row r="285" spans="1:40" s="112" customFormat="1" ht="0.2" customHeight="1" x14ac:dyDescent="0.2">
      <c r="A285" s="1140"/>
      <c r="B285" s="1137" t="s">
        <v>391</v>
      </c>
      <c r="C285" s="1145"/>
      <c r="D285" s="1145"/>
      <c r="E285" s="1145"/>
      <c r="F285" s="1145"/>
      <c r="G285" s="1145"/>
      <c r="H285" s="1145"/>
      <c r="I285" s="1356"/>
      <c r="J285" s="1356"/>
      <c r="K285" s="1356"/>
      <c r="L285" s="1479"/>
      <c r="M285" s="1499"/>
      <c r="N285" s="1498">
        <f>SUM(C285:M285)</f>
        <v>0</v>
      </c>
      <c r="O285" s="536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</row>
    <row r="286" spans="1:40" s="112" customFormat="1" ht="15.75" customHeight="1" x14ac:dyDescent="0.2">
      <c r="A286" s="1140" t="s">
        <v>285</v>
      </c>
      <c r="B286" s="1137" t="s">
        <v>286</v>
      </c>
      <c r="C286" s="1145"/>
      <c r="D286" s="1145"/>
      <c r="E286" s="1145"/>
      <c r="F286" s="1145"/>
      <c r="G286" s="1145"/>
      <c r="H286" s="1145"/>
      <c r="I286" s="1356"/>
      <c r="J286" s="1356"/>
      <c r="K286" s="1356"/>
      <c r="L286" s="1479"/>
      <c r="M286" s="1544"/>
      <c r="N286" s="1616"/>
      <c r="O286" s="536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</row>
    <row r="287" spans="1:40" s="1453" customFormat="1" ht="15.75" customHeight="1" thickBot="1" x14ac:dyDescent="0.25">
      <c r="A287" s="1141"/>
      <c r="B287" s="1139" t="s">
        <v>392</v>
      </c>
      <c r="C287" s="1360"/>
      <c r="D287" s="1360"/>
      <c r="E287" s="1360"/>
      <c r="F287" s="1360">
        <f>SUM('6. sz.melléklet'!F124)</f>
        <v>24359</v>
      </c>
      <c r="G287" s="1360"/>
      <c r="H287" s="1360"/>
      <c r="I287" s="1361"/>
      <c r="J287" s="1361"/>
      <c r="K287" s="1361"/>
      <c r="L287" s="1480"/>
      <c r="M287" s="1361"/>
      <c r="N287" s="1615">
        <f t="shared" ref="N287:N297" si="11">SUM(C287:M287)</f>
        <v>24359</v>
      </c>
      <c r="O287" s="536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10"/>
      <c r="AM287" s="110"/>
      <c r="AN287" s="110"/>
    </row>
    <row r="288" spans="1:40" s="112" customFormat="1" ht="0.2" customHeight="1" x14ac:dyDescent="0.2">
      <c r="A288" s="1522"/>
      <c r="B288" s="1520" t="s">
        <v>393</v>
      </c>
      <c r="C288" s="1523"/>
      <c r="D288" s="1523"/>
      <c r="E288" s="1523"/>
      <c r="F288" s="1523"/>
      <c r="G288" s="1523"/>
      <c r="H288" s="1523"/>
      <c r="I288" s="1544"/>
      <c r="J288" s="1544"/>
      <c r="K288" s="1544"/>
      <c r="L288" s="1545"/>
      <c r="M288" s="1499"/>
      <c r="N288" s="1498">
        <f t="shared" si="11"/>
        <v>0</v>
      </c>
      <c r="O288" s="536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</row>
    <row r="289" spans="1:40" s="112" customFormat="1" ht="0.2" customHeight="1" x14ac:dyDescent="0.2">
      <c r="A289" s="1140"/>
      <c r="B289" s="1137" t="s">
        <v>391</v>
      </c>
      <c r="C289" s="1145"/>
      <c r="D289" s="1145"/>
      <c r="E289" s="1145"/>
      <c r="F289" s="1145"/>
      <c r="G289" s="1145"/>
      <c r="H289" s="1145"/>
      <c r="I289" s="1356"/>
      <c r="J289" s="1356"/>
      <c r="K289" s="1356"/>
      <c r="L289" s="1479"/>
      <c r="M289" s="1499"/>
      <c r="N289" s="1498">
        <f t="shared" si="11"/>
        <v>0</v>
      </c>
      <c r="O289" s="536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</row>
    <row r="290" spans="1:40" s="112" customFormat="1" ht="26.25" customHeight="1" x14ac:dyDescent="0.2">
      <c r="A290" s="1140" t="s">
        <v>287</v>
      </c>
      <c r="B290" s="1137" t="s">
        <v>288</v>
      </c>
      <c r="C290" s="1145"/>
      <c r="D290" s="1145"/>
      <c r="E290" s="1145"/>
      <c r="F290" s="1145"/>
      <c r="G290" s="1145"/>
      <c r="H290" s="1145"/>
      <c r="I290" s="1356"/>
      <c r="J290" s="1356"/>
      <c r="K290" s="1356"/>
      <c r="L290" s="1479"/>
      <c r="M290" s="1544"/>
      <c r="N290" s="1616">
        <f t="shared" si="11"/>
        <v>0</v>
      </c>
      <c r="O290" s="536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</row>
    <row r="291" spans="1:40" s="1453" customFormat="1" ht="13.5" customHeight="1" thickBot="1" x14ac:dyDescent="0.25">
      <c r="A291" s="1141"/>
      <c r="B291" s="1139" t="s">
        <v>392</v>
      </c>
      <c r="C291" s="1360"/>
      <c r="D291" s="1360"/>
      <c r="E291" s="1360"/>
      <c r="F291" s="1360"/>
      <c r="G291" s="1360"/>
      <c r="H291" s="1360"/>
      <c r="I291" s="1361"/>
      <c r="J291" s="1361"/>
      <c r="K291" s="1361"/>
      <c r="L291" s="1480"/>
      <c r="M291" s="1361"/>
      <c r="N291" s="1615">
        <f t="shared" si="11"/>
        <v>0</v>
      </c>
      <c r="O291" s="536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/>
      <c r="AN291" s="110"/>
    </row>
    <row r="292" spans="1:40" s="112" customFormat="1" ht="0.2" customHeight="1" x14ac:dyDescent="0.2">
      <c r="A292" s="1522"/>
      <c r="B292" s="1520" t="s">
        <v>393</v>
      </c>
      <c r="C292" s="1523"/>
      <c r="D292" s="1523"/>
      <c r="E292" s="1523"/>
      <c r="F292" s="1523"/>
      <c r="G292" s="1523"/>
      <c r="H292" s="1523"/>
      <c r="I292" s="1544"/>
      <c r="J292" s="1544"/>
      <c r="K292" s="1544"/>
      <c r="L292" s="1545"/>
      <c r="M292" s="1499"/>
      <c r="N292" s="1498">
        <f t="shared" si="11"/>
        <v>0</v>
      </c>
      <c r="O292" s="536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</row>
    <row r="293" spans="1:40" s="112" customFormat="1" ht="0.2" customHeight="1" x14ac:dyDescent="0.2">
      <c r="A293" s="1140"/>
      <c r="B293" s="1137" t="s">
        <v>391</v>
      </c>
      <c r="C293" s="1145"/>
      <c r="D293" s="1145"/>
      <c r="E293" s="1145"/>
      <c r="F293" s="1145"/>
      <c r="G293" s="1145"/>
      <c r="H293" s="1145"/>
      <c r="I293" s="1356"/>
      <c r="J293" s="1356"/>
      <c r="K293" s="1356"/>
      <c r="L293" s="1479"/>
      <c r="M293" s="1499"/>
      <c r="N293" s="1498">
        <f t="shared" si="11"/>
        <v>0</v>
      </c>
      <c r="O293" s="536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10"/>
      <c r="AM293" s="110"/>
      <c r="AN293" s="110"/>
    </row>
    <row r="294" spans="1:40" s="112" customFormat="1" ht="15.75" customHeight="1" x14ac:dyDescent="0.2">
      <c r="A294" s="1140" t="s">
        <v>289</v>
      </c>
      <c r="B294" s="1137" t="s">
        <v>290</v>
      </c>
      <c r="C294" s="1145"/>
      <c r="D294" s="1145"/>
      <c r="E294" s="1145"/>
      <c r="F294" s="1145"/>
      <c r="G294" s="1145"/>
      <c r="H294" s="1145"/>
      <c r="I294" s="1356"/>
      <c r="J294" s="1356"/>
      <c r="K294" s="1356"/>
      <c r="L294" s="1479"/>
      <c r="M294" s="1544"/>
      <c r="N294" s="1616">
        <f t="shared" si="11"/>
        <v>0</v>
      </c>
      <c r="O294" s="536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</row>
    <row r="295" spans="1:40" s="1453" customFormat="1" ht="15.75" customHeight="1" thickBot="1" x14ac:dyDescent="0.25">
      <c r="A295" s="1141"/>
      <c r="B295" s="1139" t="s">
        <v>392</v>
      </c>
      <c r="C295" s="1360"/>
      <c r="D295" s="1360"/>
      <c r="E295" s="1360"/>
      <c r="F295" s="1360">
        <f>SUM('6. sz.melléklet'!F132)</f>
        <v>8019</v>
      </c>
      <c r="G295" s="1360"/>
      <c r="H295" s="1360"/>
      <c r="I295" s="1361"/>
      <c r="J295" s="1361"/>
      <c r="K295" s="1361"/>
      <c r="L295" s="1480"/>
      <c r="M295" s="1361"/>
      <c r="N295" s="1615">
        <f t="shared" si="11"/>
        <v>8019</v>
      </c>
      <c r="O295" s="536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</row>
    <row r="296" spans="1:40" s="112" customFormat="1" ht="0.2" customHeight="1" x14ac:dyDescent="0.2">
      <c r="A296" s="1522"/>
      <c r="B296" s="1520" t="s">
        <v>393</v>
      </c>
      <c r="C296" s="1523"/>
      <c r="D296" s="1523"/>
      <c r="E296" s="1523"/>
      <c r="F296" s="1523"/>
      <c r="G296" s="1523"/>
      <c r="H296" s="1523"/>
      <c r="I296" s="1544"/>
      <c r="J296" s="1544"/>
      <c r="K296" s="1544"/>
      <c r="L296" s="1545"/>
      <c r="M296" s="1499"/>
      <c r="N296" s="1498">
        <f t="shared" si="11"/>
        <v>0</v>
      </c>
      <c r="O296" s="536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10"/>
      <c r="AM296" s="110"/>
      <c r="AN296" s="110"/>
    </row>
    <row r="297" spans="1:40" s="112" customFormat="1" ht="0.2" customHeight="1" x14ac:dyDescent="0.2">
      <c r="A297" s="1140"/>
      <c r="B297" s="1137" t="s">
        <v>391</v>
      </c>
      <c r="C297" s="1145"/>
      <c r="D297" s="1145"/>
      <c r="E297" s="1145"/>
      <c r="F297" s="1145"/>
      <c r="G297" s="1145"/>
      <c r="H297" s="1145"/>
      <c r="I297" s="1356"/>
      <c r="J297" s="1356"/>
      <c r="K297" s="1356"/>
      <c r="L297" s="1479"/>
      <c r="M297" s="1499"/>
      <c r="N297" s="1498">
        <f t="shared" si="11"/>
        <v>0</v>
      </c>
      <c r="O297" s="536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  <c r="AM297" s="110"/>
      <c r="AN297" s="110"/>
    </row>
    <row r="298" spans="1:40" s="112" customFormat="1" ht="15.75" customHeight="1" x14ac:dyDescent="0.2">
      <c r="A298" s="1140" t="s">
        <v>291</v>
      </c>
      <c r="B298" s="1137" t="s">
        <v>76</v>
      </c>
      <c r="C298" s="1145"/>
      <c r="D298" s="1145"/>
      <c r="E298" s="1145"/>
      <c r="F298" s="1145"/>
      <c r="G298" s="1145"/>
      <c r="H298" s="1145"/>
      <c r="I298" s="1356"/>
      <c r="J298" s="1356"/>
      <c r="K298" s="1356"/>
      <c r="L298" s="1479"/>
      <c r="M298" s="1544"/>
      <c r="N298" s="1616"/>
      <c r="O298" s="536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10"/>
      <c r="AM298" s="110"/>
      <c r="AN298" s="110"/>
    </row>
    <row r="299" spans="1:40" s="1453" customFormat="1" ht="15.75" customHeight="1" thickBot="1" x14ac:dyDescent="0.25">
      <c r="A299" s="1141"/>
      <c r="B299" s="1139" t="s">
        <v>392</v>
      </c>
      <c r="C299" s="1360"/>
      <c r="D299" s="1360"/>
      <c r="E299" s="1360"/>
      <c r="F299" s="1360">
        <f>SUM('6. sz.melléklet'!F136)</f>
        <v>3762</v>
      </c>
      <c r="G299" s="1360"/>
      <c r="H299" s="1360"/>
      <c r="I299" s="1361"/>
      <c r="J299" s="1361"/>
      <c r="K299" s="1361"/>
      <c r="L299" s="1480"/>
      <c r="M299" s="1361"/>
      <c r="N299" s="1615">
        <f>SUM(C299:M299)</f>
        <v>3762</v>
      </c>
      <c r="O299" s="536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</row>
    <row r="300" spans="1:40" s="112" customFormat="1" ht="0.2" customHeight="1" x14ac:dyDescent="0.2">
      <c r="A300" s="1522"/>
      <c r="B300" s="1520" t="s">
        <v>393</v>
      </c>
      <c r="C300" s="1523"/>
      <c r="D300" s="1523"/>
      <c r="E300" s="1523"/>
      <c r="F300" s="1523"/>
      <c r="G300" s="1523"/>
      <c r="H300" s="1523"/>
      <c r="I300" s="1544"/>
      <c r="J300" s="1544"/>
      <c r="K300" s="1544"/>
      <c r="L300" s="1545"/>
      <c r="M300" s="1499"/>
      <c r="N300" s="1498">
        <f>SUM(C300:M300)</f>
        <v>0</v>
      </c>
      <c r="O300" s="536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</row>
    <row r="301" spans="1:40" s="112" customFormat="1" ht="0.2" customHeight="1" x14ac:dyDescent="0.2">
      <c r="A301" s="1140"/>
      <c r="B301" s="1137" t="s">
        <v>391</v>
      </c>
      <c r="C301" s="1145"/>
      <c r="D301" s="1145"/>
      <c r="E301" s="1145"/>
      <c r="F301" s="1145"/>
      <c r="G301" s="1145"/>
      <c r="H301" s="1145"/>
      <c r="I301" s="1356"/>
      <c r="J301" s="1356"/>
      <c r="K301" s="1356"/>
      <c r="L301" s="1479"/>
      <c r="M301" s="1499"/>
      <c r="N301" s="1498">
        <f>SUM(C301:M301)</f>
        <v>0</v>
      </c>
      <c r="O301" s="536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</row>
    <row r="302" spans="1:40" s="112" customFormat="1" ht="23.25" customHeight="1" x14ac:dyDescent="0.2">
      <c r="A302" s="1140" t="s">
        <v>292</v>
      </c>
      <c r="B302" s="1137" t="s">
        <v>293</v>
      </c>
      <c r="C302" s="1145"/>
      <c r="D302" s="1145"/>
      <c r="E302" s="1145"/>
      <c r="F302" s="1145"/>
      <c r="G302" s="1145"/>
      <c r="H302" s="1145"/>
      <c r="I302" s="1356"/>
      <c r="J302" s="1356"/>
      <c r="K302" s="1356"/>
      <c r="L302" s="1479"/>
      <c r="M302" s="1544"/>
      <c r="N302" s="1616"/>
      <c r="O302" s="536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</row>
    <row r="303" spans="1:40" s="1453" customFormat="1" ht="15" customHeight="1" thickBot="1" x14ac:dyDescent="0.25">
      <c r="A303" s="1141"/>
      <c r="B303" s="1139" t="s">
        <v>392</v>
      </c>
      <c r="C303" s="1360"/>
      <c r="D303" s="1360"/>
      <c r="E303" s="1360"/>
      <c r="F303" s="1360">
        <f>SUM('6. sz.melléklet'!F144)</f>
        <v>14361</v>
      </c>
      <c r="G303" s="1360"/>
      <c r="H303" s="1360"/>
      <c r="I303" s="1361"/>
      <c r="J303" s="1361"/>
      <c r="K303" s="1361"/>
      <c r="L303" s="1480"/>
      <c r="M303" s="1361"/>
      <c r="N303" s="1615">
        <f>SUM(C303:M303)</f>
        <v>14361</v>
      </c>
      <c r="O303" s="536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10"/>
      <c r="AM303" s="110"/>
      <c r="AN303" s="110"/>
    </row>
    <row r="304" spans="1:40" s="112" customFormat="1" ht="0.2" customHeight="1" x14ac:dyDescent="0.2">
      <c r="A304" s="1522"/>
      <c r="B304" s="1520" t="s">
        <v>393</v>
      </c>
      <c r="C304" s="1523"/>
      <c r="D304" s="1523"/>
      <c r="E304" s="1523"/>
      <c r="F304" s="1523"/>
      <c r="G304" s="1523"/>
      <c r="H304" s="1523"/>
      <c r="I304" s="1544"/>
      <c r="J304" s="1544"/>
      <c r="K304" s="1544"/>
      <c r="L304" s="1545"/>
      <c r="M304" s="1499"/>
      <c r="N304" s="1498">
        <f>SUM(C304:M304)</f>
        <v>0</v>
      </c>
      <c r="O304" s="536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</row>
    <row r="305" spans="1:40" s="112" customFormat="1" ht="0.2" customHeight="1" x14ac:dyDescent="0.2">
      <c r="A305" s="1140"/>
      <c r="B305" s="1137" t="s">
        <v>391</v>
      </c>
      <c r="C305" s="1145"/>
      <c r="D305" s="1145"/>
      <c r="E305" s="1145"/>
      <c r="F305" s="1145"/>
      <c r="G305" s="1145"/>
      <c r="H305" s="1145"/>
      <c r="I305" s="1356"/>
      <c r="J305" s="1356"/>
      <c r="K305" s="1356"/>
      <c r="L305" s="1479"/>
      <c r="M305" s="1499"/>
      <c r="N305" s="1498">
        <f>SUM(C305:M305)</f>
        <v>0</v>
      </c>
      <c r="O305" s="536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</row>
    <row r="306" spans="1:40" s="112" customFormat="1" ht="16.5" customHeight="1" x14ac:dyDescent="0.2">
      <c r="A306" s="1140" t="s">
        <v>298</v>
      </c>
      <c r="B306" s="1137" t="s">
        <v>112</v>
      </c>
      <c r="C306" s="1145"/>
      <c r="D306" s="1145"/>
      <c r="E306" s="1145"/>
      <c r="F306" s="1145"/>
      <c r="G306" s="1145"/>
      <c r="H306" s="1145"/>
      <c r="I306" s="1356"/>
      <c r="J306" s="1356"/>
      <c r="K306" s="1356"/>
      <c r="L306" s="1479"/>
      <c r="M306" s="1544"/>
      <c r="N306" s="1616"/>
      <c r="O306" s="536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</row>
    <row r="307" spans="1:40" s="1453" customFormat="1" ht="13.5" customHeight="1" thickBot="1" x14ac:dyDescent="0.25">
      <c r="A307" s="1141"/>
      <c r="B307" s="1139" t="s">
        <v>392</v>
      </c>
      <c r="C307" s="1360"/>
      <c r="D307" s="1360"/>
      <c r="E307" s="1360"/>
      <c r="F307" s="1360"/>
      <c r="G307" s="1360"/>
      <c r="H307" s="1360"/>
      <c r="I307" s="1361"/>
      <c r="J307" s="1361"/>
      <c r="K307" s="1361"/>
      <c r="L307" s="1480"/>
      <c r="M307" s="1361"/>
      <c r="N307" s="1615">
        <f>SUM(C307:M307)</f>
        <v>0</v>
      </c>
      <c r="O307" s="536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</row>
    <row r="308" spans="1:40" s="112" customFormat="1" ht="0.2" customHeight="1" x14ac:dyDescent="0.2">
      <c r="A308" s="1522"/>
      <c r="B308" s="1520" t="s">
        <v>393</v>
      </c>
      <c r="C308" s="1523"/>
      <c r="D308" s="1523"/>
      <c r="E308" s="1523"/>
      <c r="F308" s="1523"/>
      <c r="G308" s="1523"/>
      <c r="H308" s="1523"/>
      <c r="I308" s="1544"/>
      <c r="J308" s="1544"/>
      <c r="K308" s="1544"/>
      <c r="L308" s="1545"/>
      <c r="M308" s="1499"/>
      <c r="N308" s="1498">
        <f>SUM(C308:M308)</f>
        <v>0</v>
      </c>
      <c r="O308" s="536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</row>
    <row r="309" spans="1:40" s="112" customFormat="1" ht="0.2" customHeight="1" x14ac:dyDescent="0.2">
      <c r="A309" s="1140"/>
      <c r="B309" s="1137" t="s">
        <v>391</v>
      </c>
      <c r="C309" s="1145"/>
      <c r="D309" s="1145"/>
      <c r="E309" s="1145"/>
      <c r="F309" s="1145"/>
      <c r="G309" s="1145"/>
      <c r="H309" s="1145"/>
      <c r="I309" s="1356"/>
      <c r="J309" s="1356"/>
      <c r="K309" s="1356"/>
      <c r="L309" s="1479"/>
      <c r="M309" s="1499"/>
      <c r="N309" s="1498">
        <f>SUM(C309:M309)</f>
        <v>0</v>
      </c>
      <c r="O309" s="536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</row>
    <row r="310" spans="1:40" s="112" customFormat="1" ht="17.25" customHeight="1" x14ac:dyDescent="0.2">
      <c r="A310" s="1140" t="s">
        <v>299</v>
      </c>
      <c r="B310" s="1137" t="s">
        <v>86</v>
      </c>
      <c r="C310" s="1145"/>
      <c r="D310" s="1145"/>
      <c r="E310" s="1145"/>
      <c r="F310" s="1145"/>
      <c r="G310" s="1145"/>
      <c r="H310" s="1145"/>
      <c r="I310" s="1356"/>
      <c r="J310" s="1356"/>
      <c r="K310" s="1356"/>
      <c r="L310" s="1479"/>
      <c r="M310" s="1544"/>
      <c r="N310" s="1616"/>
      <c r="O310" s="536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</row>
    <row r="311" spans="1:40" s="112" customFormat="1" ht="16.5" customHeight="1" thickBot="1" x14ac:dyDescent="0.25">
      <c r="A311" s="1140"/>
      <c r="B311" s="1137" t="s">
        <v>392</v>
      </c>
      <c r="C311" s="1145"/>
      <c r="D311" s="1145"/>
      <c r="E311" s="1145"/>
      <c r="F311" s="1145"/>
      <c r="G311" s="1145"/>
      <c r="H311" s="1145"/>
      <c r="I311" s="1356"/>
      <c r="J311" s="1356"/>
      <c r="K311" s="1356">
        <f>SUM('6. sz.melléklet'!K152)</f>
        <v>64451</v>
      </c>
      <c r="L311" s="1479">
        <f>SUM('6. sz.melléklet'!L152)</f>
        <v>20400</v>
      </c>
      <c r="M311" s="1585"/>
      <c r="N311" s="1617">
        <f>SUM(C311:M311)</f>
        <v>84851</v>
      </c>
      <c r="O311" s="536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</row>
    <row r="312" spans="1:40" s="112" customFormat="1" ht="0.2" customHeight="1" thickBot="1" x14ac:dyDescent="0.25">
      <c r="A312" s="1140"/>
      <c r="B312" s="1137" t="s">
        <v>393</v>
      </c>
      <c r="C312" s="1145"/>
      <c r="D312" s="1145"/>
      <c r="E312" s="1145"/>
      <c r="F312" s="1145"/>
      <c r="G312" s="1145"/>
      <c r="H312" s="1145"/>
      <c r="I312" s="1356"/>
      <c r="J312" s="1356"/>
      <c r="K312" s="1356">
        <f>'6. sz.melléklet'!K153</f>
        <v>22658</v>
      </c>
      <c r="L312" s="1479">
        <f>'6. sz.melléklet'!L153</f>
        <v>-14950</v>
      </c>
      <c r="M312" s="1499"/>
      <c r="N312" s="1498">
        <f>SUM(C312:M312)</f>
        <v>7708</v>
      </c>
      <c r="O312" s="536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</row>
    <row r="313" spans="1:40" s="112" customFormat="1" ht="0.2" customHeight="1" thickBot="1" x14ac:dyDescent="0.25">
      <c r="A313" s="1141"/>
      <c r="B313" s="1139" t="s">
        <v>391</v>
      </c>
      <c r="C313" s="1360"/>
      <c r="D313" s="1360"/>
      <c r="E313" s="1360"/>
      <c r="F313" s="1360"/>
      <c r="G313" s="1360"/>
      <c r="H313" s="1360"/>
      <c r="I313" s="1361"/>
      <c r="J313" s="1361"/>
      <c r="K313" s="1361">
        <f>'6. sz.melléklet'!K154</f>
        <v>0</v>
      </c>
      <c r="L313" s="1480">
        <f>'6. sz.melléklet'!L154</f>
        <v>0</v>
      </c>
      <c r="M313" s="1499"/>
      <c r="N313" s="1498">
        <f>SUM(C313:M313)</f>
        <v>0</v>
      </c>
      <c r="O313" s="536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  <c r="AN313" s="110"/>
    </row>
    <row r="314" spans="1:40" s="112" customFormat="1" ht="13.5" thickBot="1" x14ac:dyDescent="0.25">
      <c r="A314" s="444"/>
      <c r="B314" s="382" t="s">
        <v>97</v>
      </c>
      <c r="C314" s="383"/>
      <c r="D314" s="383"/>
      <c r="E314" s="383"/>
      <c r="F314" s="383"/>
      <c r="G314" s="383"/>
      <c r="H314" s="383"/>
      <c r="I314" s="383"/>
      <c r="J314" s="383"/>
      <c r="K314" s="383"/>
      <c r="L314" s="1481"/>
      <c r="M314" s="383"/>
      <c r="N314" s="1618"/>
      <c r="O314" s="1611"/>
      <c r="P314" s="471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  <c r="AN314" s="110"/>
    </row>
    <row r="315" spans="1:40" s="112" customFormat="1" ht="13.5" thickBot="1" x14ac:dyDescent="0.25">
      <c r="A315" s="564"/>
      <c r="B315" s="543" t="s">
        <v>392</v>
      </c>
      <c r="C315" s="383">
        <f>C165+C177+C185+C189+C193+C197+C201+C205+C209+C213+C217+C221+C225+C229+C233+C237+C241+C245+C249+C253+C257+C261+C265+C269+C273+C277+C283+C287+C291+C295+C299+C303+C307+C311</f>
        <v>161269</v>
      </c>
      <c r="D315" s="383">
        <f>D165+D177+D185+D189+D193+D197+D201+D205+D209+D213+D217+D221+D225+D229+D233+D237+D241+D245+D249+D253+D257+D261+D265+D269+D273+D277+D283+D287+D291+D295+D299+D303+D307+D311</f>
        <v>47663</v>
      </c>
      <c r="E315" s="383">
        <f>E165+E177+E185+E189+E193+E197+E201+E205+E209+E213+E217+E221+E225+E229+E233+E237+E241+E245+E249+E253+E257+E261+E265+E269+E273+E277+E283+E287+E291+E295+E299+E303+E307+E311+E281+E169</f>
        <v>230778</v>
      </c>
      <c r="F315" s="383">
        <f>F165+F177+F185+F189+F193+F197+F201+F205+F209+F213+F217+F221+F225+F229+F233+F237+F241+F245+F249+F253+F257+F261+F265+F269+F273+F277+F283+F287+F291+F295+F299+F303+F307+F311</f>
        <v>50501</v>
      </c>
      <c r="G315" s="383">
        <f t="shared" ref="G315:L315" si="12">G165+G177+G185+G189+G193+G197+G201+G205+G209+G213+G217+G221+G225+G229+G233+G237+G241+G245+G249+G253+G257+G261+G265+G269+G273+G277+G283+G287+G291+G295+G299+G303+G307+G311</f>
        <v>227360</v>
      </c>
      <c r="H315" s="383">
        <f>H165+H177+H185+H189+H193+H197+H201+H205+H209+H213+H217+H221+H225+H229+H233+H237+H241+H245+H249+H253+H257+H261+H265+H269+H273+H277+H283+H287+H291+H295+H299+H303+H307+H311</f>
        <v>292472</v>
      </c>
      <c r="I315" s="383">
        <f t="shared" si="12"/>
        <v>41708</v>
      </c>
      <c r="J315" s="383">
        <f t="shared" si="12"/>
        <v>169055</v>
      </c>
      <c r="K315" s="383">
        <f t="shared" si="12"/>
        <v>64451</v>
      </c>
      <c r="L315" s="1481">
        <f t="shared" si="12"/>
        <v>20400</v>
      </c>
      <c r="M315" s="383">
        <f>M165+M177+M185+M189+M193+M197+M201+M205+M209+M213+M217+M221+M225+M229+M233+M237+M241+M245+M249+M253+M257+M261+M265+M269+M273+M277+M283+M287+M291+M295+M299+M303+M307+M311+M173</f>
        <v>3424</v>
      </c>
      <c r="N315" s="1481">
        <f>N165+N177+N185+N189+N193+N197+N201+N205+N209+N213+N217+N221+N225+N229+N233+N237+N241+N245+N249+N253+N257+N261+N265+N269+N273+N277+N283+N287+N291+N295+N299+N303+N307+N311+N173+N169+N281</f>
        <v>1309081</v>
      </c>
      <c r="O315" s="1611">
        <f>SUM(C315:M315)</f>
        <v>1309081</v>
      </c>
      <c r="P315" s="471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</row>
    <row r="316" spans="1:40" s="112" customFormat="1" ht="0.2" customHeight="1" thickBot="1" x14ac:dyDescent="0.25">
      <c r="A316" s="564"/>
      <c r="B316" s="543" t="s">
        <v>393</v>
      </c>
      <c r="C316" s="383">
        <f>C166+C178+C186+C190+C194+C198+C202+C206+C210+C214+C218+C222+C226+C230+C234+C238+C242+C246+C250+C254+C258+C262+C266+C270+C274+C278+C284+C288+C292+C296+C300+C304+C308+C312</f>
        <v>0</v>
      </c>
      <c r="D316" s="383">
        <f>D166+D178+D186+D190+D194+D198+D202+D206+D210+D214+D218+D222+D226+D230+D234+D238+D242+D246+D250+D254+D258+D262+D266+D270+D274+D278+D284+D288+D292+D296+D300+D304+D308+D312</f>
        <v>0</v>
      </c>
      <c r="E316" s="383">
        <f>E166+E178+E186+E190+E194+E198+E202+E206+E210+E214+E218+E222+E226+E230+E234+E238+E242+E246+E250+E254+E258+E262+E266+E270+E274+E278+E284+E288+E292+E296+E300+E304+E308+E312</f>
        <v>0</v>
      </c>
      <c r="F316" s="383">
        <f>F166+F178+F186+F190+F194+F198+F202+F206+F210+F214+F218+F222+F226+F230+F234+F238+F242+F246+F250+F254+F258+F262+F266+F270+F274+F278+F284+F288+F292+F296+F300+F304+F308+F312</f>
        <v>0</v>
      </c>
      <c r="G316" s="383">
        <f>G166+G178+G186+G190+G194+G198+G202+G206+G210+G214+G218+G222+G226+G230+G234+G238+G242+G246+G250+G254+G258+G262+G266+G270+G274+G278+G284+G288+G292+G296+G300+G304+G308+G312</f>
        <v>0</v>
      </c>
      <c r="H316" s="383">
        <f>H166+H178+H186+H190+H194+H198+H202+H206+H210+H214+H218+H222+H226+H230+H234+H238+H242+H246+H250+H254+H258+H262+H266+H270+H274+H278+H284+H288+H292+H296+H300+H304+H308+H312</f>
        <v>0</v>
      </c>
      <c r="I316" s="383">
        <f>I166+I178+I186+I190+I194+I198+I202+I206+I210+I214+I218+I222+I226+I230+I234+I238+I242+I246+I250+I254+I258+I262+I266+I270+I274+I278+I284+I288+I292+I296+I300+I304+I308+I312+I174</f>
        <v>0</v>
      </c>
      <c r="J316" s="383">
        <f t="shared" ref="J316:L317" si="13">J166+J178+J186+J190+J194+J198+J202+J206+J210+J214+J218+J222+J226+J230+J234+J238+J242+J246+J250+J254+J258+J262+J266+J270+J274+J278+J284+J288+J292+J296+J300+J304+J308+J312</f>
        <v>0</v>
      </c>
      <c r="K316" s="383">
        <f t="shared" si="13"/>
        <v>22658</v>
      </c>
      <c r="L316" s="1481">
        <f t="shared" si="13"/>
        <v>-14950</v>
      </c>
      <c r="M316" s="1482">
        <f>M166+M178+M186+M190+M194+M198+M202+M206+M210+M214+M218+M222+M226+M230+M234+M238+M242+M246+M250+M254+M258+M262+M266+M270+M274+M278+M284+M288+M292+M296+M300+M304+M308+M312+M174</f>
        <v>0</v>
      </c>
      <c r="N316" s="526">
        <f>N166+N178+N186+N190+N194+N198+N202+N206+N210+N214+N218+N222+N226+N230+N234+N238+N242+N246+N250+N254+N258+N262+N266+N270+N274+N278+N284+N288+N292+N296+N300+N304+N308+N312+N174</f>
        <v>7708</v>
      </c>
      <c r="O316" s="1611"/>
      <c r="P316" s="471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</row>
    <row r="317" spans="1:40" s="112" customFormat="1" ht="0.2" customHeight="1" thickBot="1" x14ac:dyDescent="0.25">
      <c r="A317" s="564"/>
      <c r="B317" s="543" t="s">
        <v>391</v>
      </c>
      <c r="C317" s="383">
        <f>C167+C179+C187+C191+C195+C199+C203+C207+C211+C215+C219+C223+C227+C231+C235+C239+C243+C247+C251+C255+C259+C263+C267+C271+C275+C279+C285+C289+C293+C297+C301+C305+C309+C313+C183</f>
        <v>0</v>
      </c>
      <c r="D317" s="383">
        <f>D167+D179+D187+D191+D195+D199+D203+D207+D211+D215+D219+D223+D227+D231+D235+D239+D243+D247+D251+D255+D259+D263+D267+D271+D275+D279+D285+D289+D293+D297+D301+D305+D309+D313+D183</f>
        <v>0</v>
      </c>
      <c r="E317" s="383">
        <f>E167+E179+E187+E191+E195+E199+E203+E207+E211+E215+E219+E223+E227+E231+E235+E239+E243+E247+E251+E255+E259+E263+E267+E271+E275+E279+E285+E289+E293+E297+E301+E305+E309+E313+E175+E171</f>
        <v>0</v>
      </c>
      <c r="F317" s="383">
        <f>F167+F179+F187+F191+F195+F199+F203+F207+F211+F215+F219+F223+F227+F231+F235+F239+F243+F247+F251+F255+F259+F263+F267+F271+F275+F279+F285+F289+F293+F297+F301+F305+F309+F313</f>
        <v>0</v>
      </c>
      <c r="G317" s="383">
        <f>G167+G179+G187+G191+G195+G199+G203+G207+G211+G215+G219+G223+G227+G231+G235+G239+G243+G247+G251+G255+G259+G263+G267+G271+G275+G279+G285+G289+G293+G297+G301+G305+G309+G313</f>
        <v>0</v>
      </c>
      <c r="H317" s="383">
        <f>H167+H179+H187+H191+H195+H199+H203+H207+H211+H215+H219+H223+H227+H231+H235+H239+H243+H247+H251+H255+H259+H263+H267+H271+H275+H279+H285+H289+H293+H297+H301+H305+H309+H313</f>
        <v>0</v>
      </c>
      <c r="I317" s="383">
        <f>I167+I179+I187+I191+I195+I199+I203+I207+I211+I215+I219+I223+I227+I231+I235+I239+I243+I247+I251+I255+I259+I263+I267+I271+I275+I279+I285+I289+I293+I297+I301+I305+I309+I313+I175</f>
        <v>0</v>
      </c>
      <c r="J317" s="383">
        <f t="shared" si="13"/>
        <v>0</v>
      </c>
      <c r="K317" s="383">
        <f t="shared" si="13"/>
        <v>0</v>
      </c>
      <c r="L317" s="1481">
        <f t="shared" si="13"/>
        <v>0</v>
      </c>
      <c r="M317" s="1482">
        <f>M167+M179+M187+M191+M195+M199+M203+M207+M211+M215+M219+M223+M227+M231+M235+M239+M243+M247+M251+M255+M259+M263+M267+M271+M275+M279+M285+M289+M293+M297+M301+M305+M309+M313+M175</f>
        <v>0</v>
      </c>
      <c r="N317" s="526">
        <f>N167+N179+N187+N191+N195+N199+N203+N207+N211+N215+N219+N223+N227+N231+N235+N239+N243+N247+N251+N255+N259+N263+N267+N271+N275+N279+N285+N289+N293+N297+N301+N305+N309+N313+N175+N183+N171</f>
        <v>0</v>
      </c>
      <c r="O317" s="1611">
        <f>SUM(C317:M317)</f>
        <v>0</v>
      </c>
      <c r="P317" s="471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</row>
    <row r="318" spans="1:40" s="112" customFormat="1" ht="4.5" customHeight="1" thickBot="1" x14ac:dyDescent="0.25">
      <c r="A318" s="564"/>
      <c r="B318" s="543"/>
      <c r="C318" s="383"/>
      <c r="D318" s="383"/>
      <c r="E318" s="383"/>
      <c r="F318" s="383"/>
      <c r="G318" s="383"/>
      <c r="H318" s="383"/>
      <c r="I318" s="383"/>
      <c r="J318" s="383"/>
      <c r="K318" s="383"/>
      <c r="L318" s="1481"/>
      <c r="M318" s="383"/>
      <c r="N318" s="1481"/>
      <c r="O318" s="1611"/>
      <c r="P318" s="471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</row>
    <row r="319" spans="1:40" s="112" customFormat="1" ht="13.5" thickBot="1" x14ac:dyDescent="0.25">
      <c r="A319" s="564"/>
      <c r="B319" s="543"/>
      <c r="C319" s="383"/>
      <c r="D319" s="383"/>
      <c r="E319" s="383"/>
      <c r="F319" s="383"/>
      <c r="G319" s="383"/>
      <c r="H319" s="383"/>
      <c r="I319" s="383"/>
      <c r="J319" s="383"/>
      <c r="K319" s="383"/>
      <c r="L319" s="1481"/>
      <c r="M319" s="383"/>
      <c r="N319" s="1481"/>
      <c r="O319" s="1611"/>
      <c r="P319" s="471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10"/>
      <c r="AM319" s="110"/>
      <c r="AN319" s="110"/>
    </row>
    <row r="320" spans="1:40" s="112" customFormat="1" x14ac:dyDescent="0.2">
      <c r="A320" s="1906" t="s">
        <v>382</v>
      </c>
      <c r="B320" s="1907"/>
      <c r="C320" s="506"/>
      <c r="D320" s="506"/>
      <c r="E320" s="506"/>
      <c r="F320" s="506"/>
      <c r="G320" s="506"/>
      <c r="H320" s="506"/>
      <c r="I320" s="506"/>
      <c r="J320" s="506"/>
      <c r="K320" s="506"/>
      <c r="L320" s="1482"/>
      <c r="M320" s="1586"/>
      <c r="N320" s="1614"/>
      <c r="O320" s="1611"/>
      <c r="P320" s="471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</row>
    <row r="321" spans="1:40" x14ac:dyDescent="0.2">
      <c r="A321" s="521" t="s">
        <v>244</v>
      </c>
      <c r="B321" s="522" t="s">
        <v>3</v>
      </c>
      <c r="C321" s="530"/>
      <c r="D321" s="530"/>
      <c r="E321" s="530"/>
      <c r="F321" s="530"/>
      <c r="G321" s="531"/>
      <c r="H321" s="510"/>
      <c r="I321" s="510"/>
      <c r="J321" s="510"/>
      <c r="K321" s="510"/>
      <c r="L321" s="1483"/>
      <c r="M321" s="508"/>
      <c r="N321" s="1619"/>
      <c r="O321" s="536"/>
      <c r="P321" s="4"/>
      <c r="Q321" s="4"/>
      <c r="R321" s="4"/>
      <c r="S321" s="4"/>
      <c r="T321" s="4"/>
    </row>
    <row r="322" spans="1:40" ht="13.5" thickBot="1" x14ac:dyDescent="0.25">
      <c r="A322" s="565"/>
      <c r="B322" s="378" t="s">
        <v>392</v>
      </c>
      <c r="C322" s="517">
        <f>SUM('13.sz.melléklet'!C7)</f>
        <v>67694</v>
      </c>
      <c r="D322" s="517">
        <f>SUM('13.sz.melléklet'!D7)</f>
        <v>19647</v>
      </c>
      <c r="E322" s="517">
        <f>SUM('13.sz.melléklet'!E7)</f>
        <v>32089</v>
      </c>
      <c r="F322" s="517"/>
      <c r="G322" s="561"/>
      <c r="H322" s="909">
        <f>SUM('13.sz.melléklet'!F7)</f>
        <v>2100</v>
      </c>
      <c r="I322" s="508"/>
      <c r="J322" s="508"/>
      <c r="K322" s="508"/>
      <c r="L322" s="1484"/>
      <c r="M322" s="510"/>
      <c r="N322" s="1617">
        <f>SUM(C322:M322)</f>
        <v>121530</v>
      </c>
      <c r="O322" s="536"/>
      <c r="P322" s="4"/>
      <c r="Q322" s="4"/>
      <c r="R322" s="4"/>
      <c r="S322" s="4"/>
      <c r="T322" s="4"/>
    </row>
    <row r="323" spans="1:40" ht="0.2" customHeight="1" thickBot="1" x14ac:dyDescent="0.25">
      <c r="A323" s="565"/>
      <c r="B323" s="378" t="s">
        <v>393</v>
      </c>
      <c r="C323" s="517">
        <f>'13.sz.melléklet'!C8</f>
        <v>83587</v>
      </c>
      <c r="D323" s="517">
        <f>'13.sz.melléklet'!D8</f>
        <v>23898</v>
      </c>
      <c r="E323" s="517">
        <f>'13.sz.melléklet'!E8</f>
        <v>32456</v>
      </c>
      <c r="F323" s="517"/>
      <c r="G323" s="561">
        <f>SUM('13.sz.melléklet'!G57)</f>
        <v>0</v>
      </c>
      <c r="H323" s="909">
        <f>SUM('13.sz.melléklet'!F57)</f>
        <v>2790</v>
      </c>
      <c r="I323" s="508"/>
      <c r="J323" s="508"/>
      <c r="K323" s="508"/>
      <c r="L323" s="1484"/>
      <c r="M323" s="1494"/>
      <c r="N323" s="1498">
        <f>SUM(C323:M323)</f>
        <v>142731</v>
      </c>
      <c r="O323" s="536"/>
      <c r="P323" s="4"/>
      <c r="Q323" s="4"/>
      <c r="R323" s="4"/>
      <c r="S323" s="4"/>
      <c r="T323" s="4"/>
    </row>
    <row r="324" spans="1:40" ht="0.2" customHeight="1" thickBot="1" x14ac:dyDescent="0.25">
      <c r="A324" s="565"/>
      <c r="B324" s="558" t="s">
        <v>391</v>
      </c>
      <c r="C324" s="517">
        <f>'13.sz.melléklet'!C9</f>
        <v>57231</v>
      </c>
      <c r="D324" s="517">
        <f>'13.sz.melléklet'!D9</f>
        <v>16594</v>
      </c>
      <c r="E324" s="517">
        <f>'13.sz.melléklet'!E9</f>
        <v>20040</v>
      </c>
      <c r="F324" s="517"/>
      <c r="G324" s="561">
        <f>SUM('13.sz.melléklet'!G58)</f>
        <v>0</v>
      </c>
      <c r="H324" s="909">
        <f>SUM('13.sz.melléklet'!F58)</f>
        <v>2795</v>
      </c>
      <c r="I324" s="508"/>
      <c r="J324" s="508"/>
      <c r="K324" s="508"/>
      <c r="L324" s="1484"/>
      <c r="M324" s="1494"/>
      <c r="N324" s="1498">
        <f>SUM(C324:M324)</f>
        <v>96660</v>
      </c>
      <c r="O324" s="536"/>
      <c r="P324" s="4"/>
      <c r="Q324" s="4"/>
      <c r="R324" s="4"/>
      <c r="S324" s="4"/>
      <c r="T324" s="4"/>
    </row>
    <row r="325" spans="1:40" ht="13.5" thickBot="1" x14ac:dyDescent="0.25">
      <c r="A325" s="1918" t="s">
        <v>395</v>
      </c>
      <c r="B325" s="1919"/>
      <c r="C325" s="1588"/>
      <c r="D325" s="1588"/>
      <c r="E325" s="1588"/>
      <c r="F325" s="1588"/>
      <c r="G325" s="1588"/>
      <c r="H325" s="1588"/>
      <c r="I325" s="1588"/>
      <c r="J325" s="1588"/>
      <c r="K325" s="1588"/>
      <c r="L325" s="1587"/>
      <c r="M325" s="1588"/>
      <c r="N325" s="1620"/>
      <c r="O325" s="536"/>
      <c r="P325" s="282"/>
      <c r="Q325" s="4"/>
      <c r="R325" s="4"/>
      <c r="S325" s="4"/>
      <c r="T325" s="4"/>
    </row>
    <row r="326" spans="1:40" x14ac:dyDescent="0.2">
      <c r="A326" s="1365"/>
      <c r="B326" s="1366" t="s">
        <v>392</v>
      </c>
      <c r="C326" s="1589">
        <f t="shared" ref="C326:E328" si="14">C322</f>
        <v>67694</v>
      </c>
      <c r="D326" s="1589">
        <f t="shared" si="14"/>
        <v>19647</v>
      </c>
      <c r="E326" s="1589">
        <f t="shared" si="14"/>
        <v>32089</v>
      </c>
      <c r="F326" s="1589"/>
      <c r="G326" s="1589">
        <f t="shared" ref="G326:H328" si="15">SUM(G322)</f>
        <v>0</v>
      </c>
      <c r="H326" s="1589">
        <f t="shared" si="15"/>
        <v>2100</v>
      </c>
      <c r="I326" s="1589"/>
      <c r="J326" s="1589"/>
      <c r="K326" s="1589"/>
      <c r="L326" s="1589"/>
      <c r="M326" s="1589"/>
      <c r="N326" s="1621">
        <f>N322</f>
        <v>121530</v>
      </c>
      <c r="O326" s="1798">
        <f>SUM(C326:M326)</f>
        <v>121530</v>
      </c>
      <c r="P326" s="282"/>
      <c r="Q326" s="4"/>
      <c r="R326" s="4"/>
      <c r="S326" s="4"/>
      <c r="T326" s="4"/>
    </row>
    <row r="327" spans="1:40" ht="0.2" customHeight="1" x14ac:dyDescent="0.2">
      <c r="A327" s="1365"/>
      <c r="B327" s="1366" t="s">
        <v>393</v>
      </c>
      <c r="C327" s="1590">
        <f t="shared" si="14"/>
        <v>83587</v>
      </c>
      <c r="D327" s="1590">
        <f t="shared" si="14"/>
        <v>23898</v>
      </c>
      <c r="E327" s="1590">
        <f t="shared" si="14"/>
        <v>32456</v>
      </c>
      <c r="F327" s="1590"/>
      <c r="G327" s="1590">
        <f t="shared" si="15"/>
        <v>0</v>
      </c>
      <c r="H327" s="1590">
        <f t="shared" si="15"/>
        <v>2790</v>
      </c>
      <c r="I327" s="1590"/>
      <c r="J327" s="1590"/>
      <c r="K327" s="1590"/>
      <c r="L327" s="1590"/>
      <c r="M327" s="1590"/>
      <c r="N327" s="1622">
        <f>N323</f>
        <v>142731</v>
      </c>
      <c r="O327" s="536"/>
      <c r="P327" s="282"/>
      <c r="Q327" s="4"/>
      <c r="R327" s="4"/>
      <c r="S327" s="4"/>
      <c r="T327" s="4"/>
    </row>
    <row r="328" spans="1:40" ht="0.2" customHeight="1" x14ac:dyDescent="0.2">
      <c r="A328" s="1365"/>
      <c r="B328" s="1367" t="s">
        <v>391</v>
      </c>
      <c r="C328" s="1590">
        <f t="shared" si="14"/>
        <v>57231</v>
      </c>
      <c r="D328" s="1590">
        <f t="shared" si="14"/>
        <v>16594</v>
      </c>
      <c r="E328" s="1590">
        <f t="shared" si="14"/>
        <v>20040</v>
      </c>
      <c r="F328" s="1590"/>
      <c r="G328" s="1590">
        <f t="shared" si="15"/>
        <v>0</v>
      </c>
      <c r="H328" s="1590">
        <f t="shared" si="15"/>
        <v>2795</v>
      </c>
      <c r="I328" s="1590"/>
      <c r="J328" s="1590"/>
      <c r="K328" s="1590"/>
      <c r="L328" s="1590"/>
      <c r="M328" s="1590"/>
      <c r="N328" s="1622">
        <f>N324</f>
        <v>96660</v>
      </c>
      <c r="O328" s="536"/>
      <c r="P328" s="282"/>
      <c r="Q328" s="4"/>
      <c r="R328" s="4"/>
      <c r="S328" s="4"/>
      <c r="T328" s="4"/>
    </row>
    <row r="329" spans="1:40" ht="3" customHeight="1" thickBot="1" x14ac:dyDescent="0.25">
      <c r="A329" s="572"/>
      <c r="B329" s="558"/>
      <c r="C329" s="1591"/>
      <c r="D329" s="1591"/>
      <c r="E329" s="1591"/>
      <c r="F329" s="1591"/>
      <c r="G329" s="1591"/>
      <c r="H329" s="1591"/>
      <c r="I329" s="1591"/>
      <c r="J329" s="1591"/>
      <c r="K329" s="1591"/>
      <c r="L329" s="1591"/>
      <c r="M329" s="1591"/>
      <c r="N329" s="1623"/>
      <c r="O329" s="536"/>
      <c r="P329" s="282"/>
      <c r="Q329" s="4"/>
      <c r="R329" s="4"/>
      <c r="S329" s="4"/>
      <c r="T329" s="4"/>
    </row>
    <row r="330" spans="1:40" ht="11.25" customHeight="1" x14ac:dyDescent="0.2">
      <c r="A330" s="532"/>
      <c r="B330" s="533"/>
      <c r="C330" s="515"/>
      <c r="D330" s="515"/>
      <c r="E330" s="534"/>
      <c r="F330" s="515"/>
      <c r="G330" s="515"/>
      <c r="H330" s="515"/>
      <c r="I330" s="515"/>
      <c r="J330" s="515"/>
      <c r="K330" s="515"/>
      <c r="L330" s="1485"/>
      <c r="M330" s="1294"/>
      <c r="N330" s="1614"/>
      <c r="O330" s="1584"/>
      <c r="P330" s="472"/>
    </row>
    <row r="331" spans="1:40" ht="11.25" customHeight="1" thickBot="1" x14ac:dyDescent="0.25">
      <c r="A331" s="1910" t="s">
        <v>187</v>
      </c>
      <c r="B331" s="1911"/>
      <c r="C331" s="379"/>
      <c r="D331" s="379"/>
      <c r="E331" s="456"/>
      <c r="F331" s="379"/>
      <c r="G331" s="379"/>
      <c r="H331" s="379"/>
      <c r="I331" s="379"/>
      <c r="J331" s="379"/>
      <c r="K331" s="379"/>
      <c r="L331" s="1486"/>
      <c r="M331" s="570"/>
      <c r="N331" s="1615"/>
      <c r="O331" s="1584"/>
      <c r="P331" s="472"/>
    </row>
    <row r="332" spans="1:40" ht="11.25" customHeight="1" x14ac:dyDescent="0.2">
      <c r="A332" s="931" t="s">
        <v>256</v>
      </c>
      <c r="B332" s="1336" t="s">
        <v>257</v>
      </c>
      <c r="C332" s="1337"/>
      <c r="D332" s="1337"/>
      <c r="E332" s="1337"/>
      <c r="F332" s="930"/>
      <c r="G332" s="930"/>
      <c r="H332" s="930"/>
      <c r="I332" s="930"/>
      <c r="J332" s="930"/>
      <c r="K332" s="930"/>
      <c r="L332" s="1487"/>
      <c r="M332" s="535"/>
      <c r="N332" s="1616"/>
      <c r="O332" s="1584"/>
      <c r="P332" s="472"/>
    </row>
    <row r="333" spans="1:40" s="369" customFormat="1" ht="11.25" customHeight="1" thickBot="1" x14ac:dyDescent="0.25">
      <c r="A333" s="1452"/>
      <c r="B333" s="558" t="s">
        <v>392</v>
      </c>
      <c r="C333" s="1799">
        <f>SUM('16.sz. melléklet'!C7)</f>
        <v>10897</v>
      </c>
      <c r="D333" s="1799">
        <f>SUM('16.sz. melléklet'!D7)</f>
        <v>3060</v>
      </c>
      <c r="E333" s="1799">
        <f>SUM('16.sz. melléklet'!E7)</f>
        <v>22524</v>
      </c>
      <c r="F333" s="1800"/>
      <c r="G333" s="1800"/>
      <c r="H333" s="1816">
        <f>SUM('16.sz. melléklet'!F7)</f>
        <v>2540</v>
      </c>
      <c r="I333" s="559"/>
      <c r="J333" s="559"/>
      <c r="K333" s="559"/>
      <c r="L333" s="1490"/>
      <c r="M333" s="570"/>
      <c r="N333" s="1615">
        <f>SUM(C333:M333)</f>
        <v>39021</v>
      </c>
      <c r="O333" s="1584"/>
      <c r="P333" s="472"/>
      <c r="Q333" s="194"/>
      <c r="R333" s="194"/>
      <c r="S333" s="194"/>
      <c r="T333" s="19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</row>
    <row r="334" spans="1:40" ht="0.2" customHeight="1" x14ac:dyDescent="0.2">
      <c r="A334" s="1451"/>
      <c r="B334" s="533" t="s">
        <v>393</v>
      </c>
      <c r="C334" s="1801"/>
      <c r="D334" s="1801"/>
      <c r="E334" s="1801"/>
      <c r="F334" s="1802"/>
      <c r="G334" s="1802"/>
      <c r="H334" s="1802"/>
      <c r="I334" s="515"/>
      <c r="J334" s="515"/>
      <c r="K334" s="515"/>
      <c r="L334" s="1485"/>
      <c r="M334" s="1495"/>
      <c r="N334" s="1498">
        <f>SUM(C334:M334)</f>
        <v>0</v>
      </c>
      <c r="O334" s="1584"/>
      <c r="P334" s="472"/>
    </row>
    <row r="335" spans="1:40" ht="0.2" customHeight="1" x14ac:dyDescent="0.2">
      <c r="A335" s="514"/>
      <c r="B335" s="378" t="s">
        <v>391</v>
      </c>
      <c r="C335" s="1803"/>
      <c r="D335" s="1803"/>
      <c r="E335" s="1803"/>
      <c r="F335" s="1804"/>
      <c r="G335" s="1804"/>
      <c r="H335" s="1804"/>
      <c r="I335" s="381"/>
      <c r="J335" s="381"/>
      <c r="K335" s="381"/>
      <c r="L335" s="1488"/>
      <c r="M335" s="1495"/>
      <c r="N335" s="1498">
        <f>SUM(C335:M335)</f>
        <v>0</v>
      </c>
      <c r="O335" s="1584"/>
      <c r="P335" s="472"/>
    </row>
    <row r="336" spans="1:40" s="439" customFormat="1" ht="13.5" customHeight="1" x14ac:dyDescent="0.2">
      <c r="A336" s="442" t="s">
        <v>264</v>
      </c>
      <c r="B336" s="440" t="s">
        <v>265</v>
      </c>
      <c r="C336" s="445"/>
      <c r="D336" s="445"/>
      <c r="E336" s="445"/>
      <c r="F336" s="445"/>
      <c r="G336" s="445"/>
      <c r="H336" s="445"/>
      <c r="I336" s="445"/>
      <c r="J336" s="445"/>
      <c r="K336" s="445"/>
      <c r="L336" s="1489"/>
      <c r="M336" s="566"/>
      <c r="N336" s="1616"/>
      <c r="O336" s="1628"/>
      <c r="P336" s="473"/>
      <c r="Q336" s="467"/>
      <c r="R336" s="467"/>
      <c r="S336" s="467"/>
      <c r="T336" s="467"/>
      <c r="U336" s="467"/>
      <c r="V336" s="467"/>
      <c r="W336" s="467"/>
      <c r="X336" s="467"/>
      <c r="Y336" s="467"/>
      <c r="Z336" s="467"/>
      <c r="AA336" s="467"/>
      <c r="AB336" s="467"/>
      <c r="AC336" s="467"/>
      <c r="AD336" s="467"/>
      <c r="AE336" s="467"/>
      <c r="AF336" s="467"/>
      <c r="AG336" s="467"/>
      <c r="AH336" s="467"/>
      <c r="AI336" s="467"/>
      <c r="AJ336" s="467"/>
      <c r="AK336" s="467"/>
      <c r="AL336" s="467"/>
      <c r="AM336" s="467"/>
      <c r="AN336" s="467"/>
    </row>
    <row r="337" spans="1:40" s="1551" customFormat="1" ht="13.5" customHeight="1" thickBot="1" x14ac:dyDescent="0.25">
      <c r="A337" s="567"/>
      <c r="B337" s="558" t="s">
        <v>392</v>
      </c>
      <c r="C337" s="568">
        <f>SUM('6. sz.melléklet'!C26)</f>
        <v>720</v>
      </c>
      <c r="D337" s="568">
        <f>SUM('6. sz.melléklet'!D26)</f>
        <v>195</v>
      </c>
      <c r="E337" s="568">
        <f>SUM('6. sz.melléklet'!E26)</f>
        <v>864</v>
      </c>
      <c r="F337" s="568"/>
      <c r="G337" s="568"/>
      <c r="H337" s="568"/>
      <c r="I337" s="568"/>
      <c r="J337" s="568"/>
      <c r="K337" s="568"/>
      <c r="L337" s="1561"/>
      <c r="M337" s="568"/>
      <c r="N337" s="1615">
        <f>SUM(C337:M337)</f>
        <v>1779</v>
      </c>
      <c r="O337" s="1628"/>
      <c r="P337" s="473"/>
      <c r="Q337" s="467"/>
      <c r="R337" s="467"/>
      <c r="S337" s="467"/>
      <c r="T337" s="467"/>
      <c r="U337" s="467"/>
      <c r="V337" s="467"/>
      <c r="W337" s="467"/>
      <c r="X337" s="467"/>
      <c r="Y337" s="467"/>
      <c r="Z337" s="467"/>
      <c r="AA337" s="467"/>
      <c r="AB337" s="467"/>
      <c r="AC337" s="467"/>
      <c r="AD337" s="467"/>
      <c r="AE337" s="467"/>
      <c r="AF337" s="467"/>
      <c r="AG337" s="467"/>
      <c r="AH337" s="467"/>
      <c r="AI337" s="467"/>
      <c r="AJ337" s="467"/>
      <c r="AK337" s="467"/>
      <c r="AL337" s="467"/>
      <c r="AM337" s="467"/>
      <c r="AN337" s="467"/>
    </row>
    <row r="338" spans="1:40" s="439" customFormat="1" ht="0.2" customHeight="1" x14ac:dyDescent="0.2">
      <c r="A338" s="1559"/>
      <c r="B338" s="533" t="s">
        <v>393</v>
      </c>
      <c r="C338" s="566"/>
      <c r="D338" s="566"/>
      <c r="E338" s="566"/>
      <c r="F338" s="566"/>
      <c r="G338" s="566"/>
      <c r="H338" s="566"/>
      <c r="I338" s="566"/>
      <c r="J338" s="566"/>
      <c r="K338" s="566"/>
      <c r="L338" s="1560"/>
      <c r="M338" s="1500"/>
      <c r="N338" s="1498">
        <f>SUM(C338:M338)</f>
        <v>0</v>
      </c>
      <c r="O338" s="1628"/>
      <c r="P338" s="473"/>
      <c r="Q338" s="467"/>
      <c r="R338" s="467"/>
      <c r="S338" s="467"/>
      <c r="T338" s="467"/>
      <c r="U338" s="467"/>
      <c r="V338" s="467"/>
      <c r="W338" s="467"/>
      <c r="X338" s="467"/>
      <c r="Y338" s="467"/>
      <c r="Z338" s="467"/>
      <c r="AA338" s="467"/>
      <c r="AB338" s="467"/>
      <c r="AC338" s="467"/>
      <c r="AD338" s="467"/>
      <c r="AE338" s="467"/>
      <c r="AF338" s="467"/>
      <c r="AG338" s="467"/>
      <c r="AH338" s="467"/>
      <c r="AI338" s="467"/>
      <c r="AJ338" s="467"/>
      <c r="AK338" s="467"/>
      <c r="AL338" s="467"/>
      <c r="AM338" s="467"/>
      <c r="AN338" s="467"/>
    </row>
    <row r="339" spans="1:40" s="439" customFormat="1" ht="0.2" customHeight="1" x14ac:dyDescent="0.2">
      <c r="A339" s="442"/>
      <c r="B339" s="378" t="s">
        <v>391</v>
      </c>
      <c r="C339" s="445"/>
      <c r="D339" s="445"/>
      <c r="E339" s="445"/>
      <c r="F339" s="445"/>
      <c r="G339" s="445"/>
      <c r="H339" s="445"/>
      <c r="I339" s="445"/>
      <c r="J339" s="445"/>
      <c r="K339" s="445"/>
      <c r="L339" s="1489"/>
      <c r="M339" s="1500"/>
      <c r="N339" s="1498">
        <f>SUM(C339:M339)</f>
        <v>0</v>
      </c>
      <c r="O339" s="1628"/>
      <c r="P339" s="473"/>
      <c r="Q339" s="467"/>
      <c r="R339" s="467"/>
      <c r="S339" s="467"/>
      <c r="T339" s="467"/>
      <c r="U339" s="467"/>
      <c r="V339" s="467"/>
      <c r="W339" s="467"/>
      <c r="X339" s="467"/>
      <c r="Y339" s="467"/>
      <c r="Z339" s="467"/>
      <c r="AA339" s="467"/>
      <c r="AB339" s="467"/>
      <c r="AC339" s="467"/>
      <c r="AD339" s="467"/>
      <c r="AE339" s="467"/>
      <c r="AF339" s="467"/>
      <c r="AG339" s="467"/>
      <c r="AH339" s="467"/>
      <c r="AI339" s="467"/>
      <c r="AJ339" s="467"/>
      <c r="AK339" s="467"/>
      <c r="AL339" s="467"/>
      <c r="AM339" s="467"/>
      <c r="AN339" s="467"/>
    </row>
    <row r="340" spans="1:40" s="439" customFormat="1" ht="13.5" customHeight="1" x14ac:dyDescent="0.2">
      <c r="A340" s="514" t="s">
        <v>258</v>
      </c>
      <c r="B340" s="1345" t="s">
        <v>259</v>
      </c>
      <c r="C340" s="1803"/>
      <c r="D340" s="1803"/>
      <c r="E340" s="1803"/>
      <c r="F340" s="445"/>
      <c r="G340" s="445"/>
      <c r="H340" s="445"/>
      <c r="I340" s="445"/>
      <c r="J340" s="445"/>
      <c r="K340" s="445"/>
      <c r="L340" s="1489"/>
      <c r="M340" s="566"/>
      <c r="N340" s="1616"/>
      <c r="O340" s="1628"/>
      <c r="P340" s="473"/>
      <c r="Q340" s="467"/>
      <c r="R340" s="467"/>
      <c r="S340" s="467"/>
      <c r="T340" s="467"/>
      <c r="U340" s="467"/>
      <c r="V340" s="467"/>
      <c r="W340" s="467"/>
      <c r="X340" s="467"/>
      <c r="Y340" s="467"/>
      <c r="Z340" s="467"/>
      <c r="AA340" s="467"/>
      <c r="AB340" s="467"/>
      <c r="AC340" s="467"/>
      <c r="AD340" s="467"/>
      <c r="AE340" s="467"/>
      <c r="AF340" s="467"/>
      <c r="AG340" s="467"/>
      <c r="AH340" s="467"/>
      <c r="AI340" s="467"/>
      <c r="AJ340" s="467"/>
      <c r="AK340" s="467"/>
      <c r="AL340" s="467"/>
      <c r="AM340" s="467"/>
      <c r="AN340" s="467"/>
    </row>
    <row r="341" spans="1:40" s="1551" customFormat="1" ht="13.5" customHeight="1" thickBot="1" x14ac:dyDescent="0.25">
      <c r="A341" s="1452"/>
      <c r="B341" s="558" t="s">
        <v>392</v>
      </c>
      <c r="C341" s="1799">
        <f>SUM('16.sz. melléklet'!C11)</f>
        <v>1520</v>
      </c>
      <c r="D341" s="1799">
        <f>SUM('16.sz. melléklet'!D11)</f>
        <v>385</v>
      </c>
      <c r="E341" s="1799"/>
      <c r="F341" s="568"/>
      <c r="G341" s="568"/>
      <c r="H341" s="568"/>
      <c r="I341" s="568"/>
      <c r="J341" s="568"/>
      <c r="K341" s="568"/>
      <c r="L341" s="1561"/>
      <c r="M341" s="568"/>
      <c r="N341" s="1615">
        <f>SUM(C341:M341)</f>
        <v>1905</v>
      </c>
      <c r="O341" s="1628"/>
      <c r="P341" s="473"/>
      <c r="Q341" s="467"/>
      <c r="R341" s="467"/>
      <c r="S341" s="467"/>
      <c r="T341" s="467"/>
      <c r="U341" s="467"/>
      <c r="V341" s="467"/>
      <c r="W341" s="467"/>
      <c r="X341" s="467"/>
      <c r="Y341" s="467"/>
      <c r="Z341" s="467"/>
      <c r="AA341" s="467"/>
      <c r="AB341" s="467"/>
      <c r="AC341" s="467"/>
      <c r="AD341" s="467"/>
      <c r="AE341" s="467"/>
      <c r="AF341" s="467"/>
      <c r="AG341" s="467"/>
      <c r="AH341" s="467"/>
      <c r="AI341" s="467"/>
      <c r="AJ341" s="467"/>
      <c r="AK341" s="467"/>
      <c r="AL341" s="467"/>
      <c r="AM341" s="467"/>
      <c r="AN341" s="467"/>
    </row>
    <row r="342" spans="1:40" s="439" customFormat="1" ht="0.2" customHeight="1" x14ac:dyDescent="0.2">
      <c r="A342" s="1451"/>
      <c r="B342" s="533" t="s">
        <v>393</v>
      </c>
      <c r="C342" s="1558"/>
      <c r="D342" s="1558"/>
      <c r="E342" s="1558"/>
      <c r="F342" s="566"/>
      <c r="G342" s="566"/>
      <c r="H342" s="566"/>
      <c r="I342" s="566"/>
      <c r="J342" s="566"/>
      <c r="K342" s="566"/>
      <c r="L342" s="1560"/>
      <c r="M342" s="1500"/>
      <c r="N342" s="1498">
        <f>SUM(C342:M342)</f>
        <v>0</v>
      </c>
      <c r="O342" s="1628"/>
      <c r="P342" s="473"/>
      <c r="Q342" s="467"/>
      <c r="R342" s="467"/>
      <c r="S342" s="467"/>
      <c r="T342" s="467"/>
      <c r="U342" s="467"/>
      <c r="V342" s="467"/>
      <c r="W342" s="467"/>
      <c r="X342" s="467"/>
      <c r="Y342" s="467"/>
      <c r="Z342" s="467"/>
      <c r="AA342" s="467"/>
      <c r="AB342" s="467"/>
      <c r="AC342" s="467"/>
      <c r="AD342" s="467"/>
      <c r="AE342" s="467"/>
      <c r="AF342" s="467"/>
      <c r="AG342" s="467"/>
      <c r="AH342" s="467"/>
      <c r="AI342" s="467"/>
      <c r="AJ342" s="467"/>
      <c r="AK342" s="467"/>
      <c r="AL342" s="467"/>
      <c r="AM342" s="467"/>
      <c r="AN342" s="467"/>
    </row>
    <row r="343" spans="1:40" s="439" customFormat="1" ht="0.2" customHeight="1" x14ac:dyDescent="0.2">
      <c r="A343" s="514"/>
      <c r="B343" s="378" t="s">
        <v>391</v>
      </c>
      <c r="C343" s="573"/>
      <c r="D343" s="573"/>
      <c r="E343" s="573"/>
      <c r="F343" s="445"/>
      <c r="G343" s="445"/>
      <c r="H343" s="445"/>
      <c r="I343" s="445"/>
      <c r="J343" s="445"/>
      <c r="K343" s="445"/>
      <c r="L343" s="1489"/>
      <c r="M343" s="1500"/>
      <c r="N343" s="1498">
        <f>SUM(C343:M343)</f>
        <v>0</v>
      </c>
      <c r="O343" s="1628"/>
      <c r="P343" s="473"/>
      <c r="Q343" s="467"/>
      <c r="R343" s="467"/>
      <c r="S343" s="467"/>
      <c r="T343" s="467"/>
      <c r="U343" s="467"/>
      <c r="V343" s="467"/>
      <c r="W343" s="467"/>
      <c r="X343" s="467"/>
      <c r="Y343" s="467"/>
      <c r="Z343" s="467"/>
      <c r="AA343" s="467"/>
      <c r="AB343" s="467"/>
      <c r="AC343" s="467"/>
      <c r="AD343" s="467"/>
      <c r="AE343" s="467"/>
      <c r="AF343" s="467"/>
      <c r="AG343" s="467"/>
      <c r="AH343" s="467"/>
      <c r="AI343" s="467"/>
      <c r="AJ343" s="467"/>
      <c r="AK343" s="467"/>
      <c r="AL343" s="467"/>
      <c r="AM343" s="467"/>
      <c r="AN343" s="467"/>
    </row>
    <row r="344" spans="1:40" s="439" customFormat="1" ht="13.5" customHeight="1" x14ac:dyDescent="0.2">
      <c r="A344" s="442" t="s">
        <v>266</v>
      </c>
      <c r="B344" s="440" t="s">
        <v>267</v>
      </c>
      <c r="C344" s="445"/>
      <c r="D344" s="445"/>
      <c r="E344" s="445"/>
      <c r="F344" s="445"/>
      <c r="G344" s="445"/>
      <c r="H344" s="445"/>
      <c r="I344" s="445"/>
      <c r="J344" s="445"/>
      <c r="K344" s="445"/>
      <c r="L344" s="1489"/>
      <c r="M344" s="566"/>
      <c r="N344" s="1616"/>
      <c r="O344" s="1628"/>
      <c r="P344" s="473"/>
      <c r="Q344" s="467"/>
      <c r="R344" s="467"/>
      <c r="S344" s="467"/>
      <c r="T344" s="467"/>
      <c r="U344" s="467"/>
      <c r="V344" s="467"/>
      <c r="W344" s="467"/>
      <c r="X344" s="467"/>
      <c r="Y344" s="467"/>
      <c r="Z344" s="467"/>
      <c r="AA344" s="467"/>
      <c r="AB344" s="467"/>
      <c r="AC344" s="467"/>
      <c r="AD344" s="467"/>
      <c r="AE344" s="467"/>
      <c r="AF344" s="467"/>
      <c r="AG344" s="467"/>
      <c r="AH344" s="467"/>
      <c r="AI344" s="467"/>
      <c r="AJ344" s="467"/>
      <c r="AK344" s="467"/>
      <c r="AL344" s="467"/>
      <c r="AM344" s="467"/>
      <c r="AN344" s="467"/>
    </row>
    <row r="345" spans="1:40" s="1551" customFormat="1" ht="13.5" customHeight="1" thickBot="1" x14ac:dyDescent="0.25">
      <c r="A345" s="567"/>
      <c r="B345" s="558" t="s">
        <v>392</v>
      </c>
      <c r="C345" s="568">
        <f>SUM('6. sz.melléklet'!C30)</f>
        <v>7854</v>
      </c>
      <c r="D345" s="568">
        <f>SUM('6. sz.melléklet'!D30)</f>
        <v>2245</v>
      </c>
      <c r="E345" s="568">
        <f>SUM('6. sz.melléklet'!E30)</f>
        <v>6220</v>
      </c>
      <c r="F345" s="568"/>
      <c r="G345" s="568"/>
      <c r="H345" s="568"/>
      <c r="I345" s="568"/>
      <c r="J345" s="568"/>
      <c r="K345" s="568"/>
      <c r="L345" s="1561"/>
      <c r="M345" s="568"/>
      <c r="N345" s="1615">
        <f>SUM(C345:M345)</f>
        <v>16319</v>
      </c>
      <c r="O345" s="1628"/>
      <c r="P345" s="473"/>
      <c r="Q345" s="467"/>
      <c r="R345" s="467"/>
      <c r="S345" s="467"/>
      <c r="T345" s="467"/>
      <c r="U345" s="467"/>
      <c r="V345" s="467"/>
      <c r="W345" s="467"/>
      <c r="X345" s="467"/>
      <c r="Y345" s="467"/>
      <c r="Z345" s="467"/>
      <c r="AA345" s="467"/>
      <c r="AB345" s="467"/>
      <c r="AC345" s="467"/>
      <c r="AD345" s="467"/>
      <c r="AE345" s="467"/>
      <c r="AF345" s="467"/>
      <c r="AG345" s="467"/>
      <c r="AH345" s="467"/>
      <c r="AI345" s="467"/>
      <c r="AJ345" s="467"/>
      <c r="AK345" s="467"/>
      <c r="AL345" s="467"/>
      <c r="AM345" s="467"/>
      <c r="AN345" s="467"/>
    </row>
    <row r="346" spans="1:40" s="439" customFormat="1" ht="0.2" customHeight="1" x14ac:dyDescent="0.2">
      <c r="A346" s="1559"/>
      <c r="B346" s="533" t="s">
        <v>393</v>
      </c>
      <c r="C346" s="566"/>
      <c r="D346" s="566"/>
      <c r="E346" s="566"/>
      <c r="F346" s="566"/>
      <c r="G346" s="566"/>
      <c r="H346" s="566"/>
      <c r="I346" s="566"/>
      <c r="J346" s="566"/>
      <c r="K346" s="566"/>
      <c r="L346" s="1560"/>
      <c r="M346" s="1500"/>
      <c r="N346" s="1498">
        <f>SUM(C346:M346)</f>
        <v>0</v>
      </c>
      <c r="O346" s="1628"/>
      <c r="P346" s="473"/>
      <c r="Q346" s="467"/>
      <c r="R346" s="467"/>
      <c r="S346" s="467"/>
      <c r="T346" s="467"/>
      <c r="U346" s="467"/>
      <c r="V346" s="467"/>
      <c r="W346" s="467"/>
      <c r="X346" s="467"/>
      <c r="Y346" s="467"/>
      <c r="Z346" s="467"/>
      <c r="AA346" s="467"/>
      <c r="AB346" s="467"/>
      <c r="AC346" s="467"/>
      <c r="AD346" s="467"/>
      <c r="AE346" s="467"/>
      <c r="AF346" s="467"/>
      <c r="AG346" s="467"/>
      <c r="AH346" s="467"/>
      <c r="AI346" s="467"/>
      <c r="AJ346" s="467"/>
      <c r="AK346" s="467"/>
      <c r="AL346" s="467"/>
      <c r="AM346" s="467"/>
      <c r="AN346" s="467"/>
    </row>
    <row r="347" spans="1:40" s="439" customFormat="1" ht="0.2" customHeight="1" x14ac:dyDescent="0.2">
      <c r="A347" s="442"/>
      <c r="B347" s="378" t="s">
        <v>391</v>
      </c>
      <c r="C347" s="445"/>
      <c r="D347" s="445"/>
      <c r="E347" s="445"/>
      <c r="F347" s="445"/>
      <c r="G347" s="445"/>
      <c r="H347" s="445"/>
      <c r="I347" s="445"/>
      <c r="J347" s="445"/>
      <c r="K347" s="445"/>
      <c r="L347" s="1489"/>
      <c r="M347" s="1500"/>
      <c r="N347" s="1498">
        <f>SUM(C347:M347)</f>
        <v>0</v>
      </c>
      <c r="O347" s="1628"/>
      <c r="P347" s="473"/>
      <c r="Q347" s="467"/>
      <c r="R347" s="467"/>
      <c r="S347" s="467"/>
      <c r="T347" s="467"/>
      <c r="U347" s="467"/>
      <c r="V347" s="467"/>
      <c r="W347" s="467"/>
      <c r="X347" s="467"/>
      <c r="Y347" s="467"/>
      <c r="Z347" s="467"/>
      <c r="AA347" s="467"/>
      <c r="AB347" s="467"/>
      <c r="AC347" s="467"/>
      <c r="AD347" s="467"/>
      <c r="AE347" s="467"/>
      <c r="AF347" s="467"/>
      <c r="AG347" s="467"/>
      <c r="AH347" s="467"/>
      <c r="AI347" s="467"/>
      <c r="AJ347" s="467"/>
      <c r="AK347" s="467"/>
      <c r="AL347" s="467"/>
      <c r="AM347" s="467"/>
      <c r="AN347" s="467"/>
    </row>
    <row r="348" spans="1:40" s="439" customFormat="1" ht="13.5" customHeight="1" x14ac:dyDescent="0.2">
      <c r="A348" s="442" t="s">
        <v>294</v>
      </c>
      <c r="B348" s="440" t="s">
        <v>295</v>
      </c>
      <c r="C348" s="445"/>
      <c r="D348" s="445"/>
      <c r="E348" s="445"/>
      <c r="F348" s="445"/>
      <c r="G348" s="445"/>
      <c r="H348" s="445"/>
      <c r="I348" s="445"/>
      <c r="J348" s="445"/>
      <c r="K348" s="445"/>
      <c r="L348" s="1489"/>
      <c r="M348" s="566"/>
      <c r="N348" s="1616"/>
      <c r="O348" s="1628"/>
      <c r="P348" s="473"/>
      <c r="Q348" s="467"/>
      <c r="R348" s="467"/>
      <c r="S348" s="467"/>
      <c r="T348" s="467"/>
      <c r="U348" s="467"/>
      <c r="V348" s="467"/>
      <c r="W348" s="467"/>
      <c r="X348" s="467"/>
      <c r="Y348" s="467"/>
      <c r="Z348" s="467"/>
      <c r="AA348" s="467"/>
      <c r="AB348" s="467"/>
      <c r="AC348" s="467"/>
      <c r="AD348" s="467"/>
      <c r="AE348" s="467"/>
      <c r="AF348" s="467"/>
      <c r="AG348" s="467"/>
      <c r="AH348" s="467"/>
      <c r="AI348" s="467"/>
      <c r="AJ348" s="467"/>
      <c r="AK348" s="467"/>
      <c r="AL348" s="467"/>
      <c r="AM348" s="467"/>
      <c r="AN348" s="467"/>
    </row>
    <row r="349" spans="1:40" s="1551" customFormat="1" ht="13.5" customHeight="1" thickBot="1" x14ac:dyDescent="0.25">
      <c r="A349" s="567"/>
      <c r="B349" s="558" t="s">
        <v>392</v>
      </c>
      <c r="C349" s="568"/>
      <c r="D349" s="568"/>
      <c r="E349" s="568">
        <f>SUM('6. sz.melléklet'!E34)</f>
        <v>5334</v>
      </c>
      <c r="F349" s="568"/>
      <c r="G349" s="568"/>
      <c r="H349" s="568"/>
      <c r="I349" s="568"/>
      <c r="J349" s="568"/>
      <c r="K349" s="568"/>
      <c r="L349" s="1561"/>
      <c r="M349" s="568"/>
      <c r="N349" s="1615">
        <f>SUM(C349:M349)</f>
        <v>5334</v>
      </c>
      <c r="O349" s="1628"/>
      <c r="P349" s="473"/>
      <c r="Q349" s="467"/>
      <c r="R349" s="467"/>
      <c r="S349" s="467"/>
      <c r="T349" s="467"/>
      <c r="U349" s="467"/>
      <c r="V349" s="467"/>
      <c r="W349" s="467"/>
      <c r="X349" s="467"/>
      <c r="Y349" s="467"/>
      <c r="Z349" s="467"/>
      <c r="AA349" s="467"/>
      <c r="AB349" s="467"/>
      <c r="AC349" s="467"/>
      <c r="AD349" s="467"/>
      <c r="AE349" s="467"/>
      <c r="AF349" s="467"/>
      <c r="AG349" s="467"/>
      <c r="AH349" s="467"/>
      <c r="AI349" s="467"/>
      <c r="AJ349" s="467"/>
      <c r="AK349" s="467"/>
      <c r="AL349" s="467"/>
      <c r="AM349" s="467"/>
      <c r="AN349" s="467"/>
    </row>
    <row r="350" spans="1:40" s="439" customFormat="1" ht="0.2" customHeight="1" x14ac:dyDescent="0.2">
      <c r="A350" s="1559"/>
      <c r="B350" s="533" t="s">
        <v>393</v>
      </c>
      <c r="C350" s="566"/>
      <c r="D350" s="566"/>
      <c r="E350" s="566"/>
      <c r="F350" s="566"/>
      <c r="G350" s="566"/>
      <c r="H350" s="566"/>
      <c r="I350" s="566"/>
      <c r="J350" s="566"/>
      <c r="K350" s="566"/>
      <c r="L350" s="1560"/>
      <c r="M350" s="1500"/>
      <c r="N350" s="1498">
        <f>SUM(C350:M350)</f>
        <v>0</v>
      </c>
      <c r="O350" s="1628"/>
      <c r="P350" s="473"/>
      <c r="Q350" s="467"/>
      <c r="R350" s="467"/>
      <c r="S350" s="467"/>
      <c r="T350" s="467"/>
      <c r="U350" s="467"/>
      <c r="V350" s="467"/>
      <c r="W350" s="467"/>
      <c r="X350" s="467"/>
      <c r="Y350" s="467"/>
      <c r="Z350" s="467"/>
      <c r="AA350" s="467"/>
      <c r="AB350" s="467"/>
      <c r="AC350" s="467"/>
      <c r="AD350" s="467"/>
      <c r="AE350" s="467"/>
      <c r="AF350" s="467"/>
      <c r="AG350" s="467"/>
      <c r="AH350" s="467"/>
      <c r="AI350" s="467"/>
      <c r="AJ350" s="467"/>
      <c r="AK350" s="467"/>
      <c r="AL350" s="467"/>
      <c r="AM350" s="467"/>
      <c r="AN350" s="467"/>
    </row>
    <row r="351" spans="1:40" s="439" customFormat="1" ht="0.2" customHeight="1" x14ac:dyDescent="0.2">
      <c r="A351" s="442"/>
      <c r="B351" s="378" t="s">
        <v>391</v>
      </c>
      <c r="C351" s="445"/>
      <c r="D351" s="445"/>
      <c r="E351" s="445"/>
      <c r="F351" s="445"/>
      <c r="G351" s="445"/>
      <c r="H351" s="445"/>
      <c r="I351" s="445"/>
      <c r="J351" s="445"/>
      <c r="K351" s="445"/>
      <c r="L351" s="1489"/>
      <c r="M351" s="1500"/>
      <c r="N351" s="1498">
        <f>SUM(C351:M351)</f>
        <v>0</v>
      </c>
      <c r="O351" s="1628"/>
      <c r="P351" s="473"/>
      <c r="Q351" s="467"/>
      <c r="R351" s="467"/>
      <c r="S351" s="467"/>
      <c r="T351" s="467"/>
      <c r="U351" s="467"/>
      <c r="V351" s="467"/>
      <c r="W351" s="467"/>
      <c r="X351" s="467"/>
      <c r="Y351" s="467"/>
      <c r="Z351" s="467"/>
      <c r="AA351" s="467"/>
      <c r="AB351" s="467"/>
      <c r="AC351" s="467"/>
      <c r="AD351" s="467"/>
      <c r="AE351" s="467"/>
      <c r="AF351" s="467"/>
      <c r="AG351" s="467"/>
      <c r="AH351" s="467"/>
      <c r="AI351" s="467"/>
      <c r="AJ351" s="467"/>
      <c r="AK351" s="467"/>
      <c r="AL351" s="467"/>
      <c r="AM351" s="467"/>
      <c r="AN351" s="467"/>
    </row>
    <row r="352" spans="1:40" s="112" customFormat="1" x14ac:dyDescent="0.2">
      <c r="A352" s="443" t="s">
        <v>268</v>
      </c>
      <c r="B352" s="378" t="s">
        <v>269</v>
      </c>
      <c r="C352" s="381"/>
      <c r="D352" s="381"/>
      <c r="E352" s="381"/>
      <c r="F352" s="381"/>
      <c r="G352" s="381"/>
      <c r="H352" s="381"/>
      <c r="I352" s="380"/>
      <c r="J352" s="380"/>
      <c r="K352" s="380"/>
      <c r="L352" s="1488"/>
      <c r="M352" s="535"/>
      <c r="N352" s="1616"/>
      <c r="O352" s="536"/>
      <c r="P352" s="474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</row>
    <row r="353" spans="1:40" s="1453" customFormat="1" ht="13.5" thickBot="1" x14ac:dyDescent="0.25">
      <c r="A353" s="518"/>
      <c r="B353" s="558" t="s">
        <v>392</v>
      </c>
      <c r="C353" s="559">
        <f>SUM('6. sz.melléklet'!C38)</f>
        <v>480</v>
      </c>
      <c r="D353" s="559">
        <f>SUM('6. sz.melléklet'!D38)</f>
        <v>130</v>
      </c>
      <c r="E353" s="559">
        <f>SUM('6. sz.melléklet'!E38)</f>
        <v>940</v>
      </c>
      <c r="F353" s="559"/>
      <c r="G353" s="559"/>
      <c r="H353" s="559"/>
      <c r="I353" s="570"/>
      <c r="J353" s="570"/>
      <c r="K353" s="570"/>
      <c r="L353" s="1490"/>
      <c r="M353" s="570"/>
      <c r="N353" s="1615">
        <f>SUM(C353:M353)</f>
        <v>1550</v>
      </c>
      <c r="O353" s="536"/>
      <c r="P353" s="474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</row>
    <row r="354" spans="1:40" s="112" customFormat="1" ht="0.2" customHeight="1" x14ac:dyDescent="0.2">
      <c r="A354" s="1517"/>
      <c r="B354" s="533" t="s">
        <v>393</v>
      </c>
      <c r="C354" s="515"/>
      <c r="D354" s="515"/>
      <c r="E354" s="515"/>
      <c r="F354" s="515"/>
      <c r="G354" s="515"/>
      <c r="H354" s="515"/>
      <c r="I354" s="535"/>
      <c r="J354" s="535"/>
      <c r="K354" s="535"/>
      <c r="L354" s="1485"/>
      <c r="M354" s="1495"/>
      <c r="N354" s="1498">
        <f>SUM(C354:M354)</f>
        <v>0</v>
      </c>
      <c r="O354" s="536"/>
      <c r="P354" s="474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</row>
    <row r="355" spans="1:40" s="112" customFormat="1" ht="0.2" customHeight="1" x14ac:dyDescent="0.2">
      <c r="A355" s="443"/>
      <c r="B355" s="378" t="s">
        <v>391</v>
      </c>
      <c r="C355" s="381"/>
      <c r="D355" s="381"/>
      <c r="E355" s="381"/>
      <c r="F355" s="381"/>
      <c r="G355" s="381"/>
      <c r="H355" s="381"/>
      <c r="I355" s="380"/>
      <c r="J355" s="380"/>
      <c r="K355" s="380"/>
      <c r="L355" s="1488"/>
      <c r="M355" s="1495"/>
      <c r="N355" s="1498">
        <f>SUM(C355:M355)</f>
        <v>0</v>
      </c>
      <c r="O355" s="536"/>
      <c r="P355" s="474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</row>
    <row r="356" spans="1:40" s="112" customFormat="1" x14ac:dyDescent="0.2">
      <c r="A356" s="443" t="s">
        <v>313</v>
      </c>
      <c r="B356" s="378" t="s">
        <v>314</v>
      </c>
      <c r="C356" s="381"/>
      <c r="D356" s="381"/>
      <c r="E356" s="381"/>
      <c r="F356" s="381"/>
      <c r="G356" s="381"/>
      <c r="H356" s="381"/>
      <c r="I356" s="380"/>
      <c r="J356" s="380"/>
      <c r="K356" s="380"/>
      <c r="L356" s="1488"/>
      <c r="M356" s="535"/>
      <c r="N356" s="1616"/>
      <c r="O356" s="536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  <c r="AJ356" s="110"/>
      <c r="AK356" s="110"/>
      <c r="AL356" s="110"/>
      <c r="AM356" s="110"/>
      <c r="AN356" s="110"/>
    </row>
    <row r="357" spans="1:40" s="1453" customFormat="1" ht="13.5" thickBot="1" x14ac:dyDescent="0.25">
      <c r="A357" s="518"/>
      <c r="B357" s="558" t="s">
        <v>392</v>
      </c>
      <c r="C357" s="559">
        <f>SUM('6. sz.melléklet'!C102)</f>
        <v>0</v>
      </c>
      <c r="D357" s="559">
        <f>SUM('6. sz.melléklet'!D102)</f>
        <v>0</v>
      </c>
      <c r="E357" s="559">
        <f>SUM('6. sz.melléklet'!E102)</f>
        <v>50</v>
      </c>
      <c r="F357" s="559"/>
      <c r="G357" s="559"/>
      <c r="H357" s="559">
        <f>SUM('6. sz.melléklet'!H102)</f>
        <v>127</v>
      </c>
      <c r="I357" s="570"/>
      <c r="J357" s="570"/>
      <c r="K357" s="570"/>
      <c r="L357" s="1490"/>
      <c r="M357" s="570"/>
      <c r="N357" s="1615">
        <f>SUM(C357:M357)</f>
        <v>177</v>
      </c>
      <c r="O357" s="536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</row>
    <row r="358" spans="1:40" s="112" customFormat="1" ht="0.2" customHeight="1" x14ac:dyDescent="0.2">
      <c r="A358" s="1517"/>
      <c r="B358" s="533" t="s">
        <v>393</v>
      </c>
      <c r="C358" s="515"/>
      <c r="D358" s="515"/>
      <c r="E358" s="515"/>
      <c r="F358" s="515"/>
      <c r="G358" s="515"/>
      <c r="H358" s="515"/>
      <c r="I358" s="535"/>
      <c r="J358" s="535"/>
      <c r="K358" s="535"/>
      <c r="L358" s="1485"/>
      <c r="M358" s="1495"/>
      <c r="N358" s="1498">
        <f>SUM(C358:M358)</f>
        <v>0</v>
      </c>
      <c r="O358" s="536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</row>
    <row r="359" spans="1:40" s="112" customFormat="1" ht="0.2" customHeight="1" x14ac:dyDescent="0.2">
      <c r="A359" s="443"/>
      <c r="B359" s="378" t="s">
        <v>391</v>
      </c>
      <c r="C359" s="381"/>
      <c r="D359" s="381"/>
      <c r="E359" s="381"/>
      <c r="F359" s="381"/>
      <c r="G359" s="381"/>
      <c r="H359" s="381"/>
      <c r="I359" s="380"/>
      <c r="J359" s="380"/>
      <c r="K359" s="380"/>
      <c r="L359" s="1488"/>
      <c r="M359" s="1495"/>
      <c r="N359" s="1498">
        <f>SUM(C359:M359)</f>
        <v>0</v>
      </c>
      <c r="O359" s="536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</row>
    <row r="360" spans="1:40" s="112" customFormat="1" x14ac:dyDescent="0.2">
      <c r="A360" s="443" t="s">
        <v>317</v>
      </c>
      <c r="B360" s="378" t="s">
        <v>318</v>
      </c>
      <c r="C360" s="381"/>
      <c r="D360" s="381"/>
      <c r="E360" s="381"/>
      <c r="F360" s="381"/>
      <c r="G360" s="381"/>
      <c r="H360" s="381"/>
      <c r="I360" s="380"/>
      <c r="J360" s="380"/>
      <c r="K360" s="380"/>
      <c r="L360" s="1488"/>
      <c r="M360" s="535"/>
      <c r="N360" s="1616"/>
      <c r="O360" s="536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</row>
    <row r="361" spans="1:40" s="1453" customFormat="1" ht="13.5" thickBot="1" x14ac:dyDescent="0.25">
      <c r="A361" s="518"/>
      <c r="B361" s="558" t="s">
        <v>392</v>
      </c>
      <c r="C361" s="559">
        <f>SUM('6. sz.melléklet'!C106)</f>
        <v>500</v>
      </c>
      <c r="D361" s="559">
        <f>SUM('6. sz.melléklet'!D106)</f>
        <v>251</v>
      </c>
      <c r="E361" s="559">
        <f>SUM('6. sz.melléklet'!E106)</f>
        <v>65</v>
      </c>
      <c r="F361" s="559"/>
      <c r="G361" s="559"/>
      <c r="H361" s="559">
        <f>SUM('6. sz.melléklet'!H106)</f>
        <v>0</v>
      </c>
      <c r="I361" s="570"/>
      <c r="J361" s="570"/>
      <c r="K361" s="570"/>
      <c r="L361" s="1490"/>
      <c r="M361" s="570"/>
      <c r="N361" s="1615">
        <f t="shared" ref="N361:N366" si="16">SUM(C361:M361)</f>
        <v>816</v>
      </c>
      <c r="O361" s="536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</row>
    <row r="362" spans="1:40" s="112" customFormat="1" ht="0.2" customHeight="1" x14ac:dyDescent="0.2">
      <c r="A362" s="1517"/>
      <c r="B362" s="533" t="s">
        <v>393</v>
      </c>
      <c r="C362" s="515"/>
      <c r="D362" s="515"/>
      <c r="E362" s="515"/>
      <c r="F362" s="515"/>
      <c r="G362" s="515"/>
      <c r="H362" s="515"/>
      <c r="I362" s="535"/>
      <c r="J362" s="535"/>
      <c r="K362" s="535"/>
      <c r="L362" s="1485"/>
      <c r="M362" s="1495"/>
      <c r="N362" s="1498">
        <f t="shared" si="16"/>
        <v>0</v>
      </c>
      <c r="O362" s="536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</row>
    <row r="363" spans="1:40" s="112" customFormat="1" ht="0.2" customHeight="1" x14ac:dyDescent="0.2">
      <c r="A363" s="443"/>
      <c r="B363" s="378" t="s">
        <v>391</v>
      </c>
      <c r="C363" s="381"/>
      <c r="D363" s="381"/>
      <c r="E363" s="381"/>
      <c r="F363" s="381"/>
      <c r="G363" s="381"/>
      <c r="H363" s="381"/>
      <c r="I363" s="380"/>
      <c r="J363" s="380"/>
      <c r="K363" s="380"/>
      <c r="L363" s="1488"/>
      <c r="M363" s="1495"/>
      <c r="N363" s="1498">
        <f t="shared" ref="N363" si="17">SUM(C363:M363)</f>
        <v>0</v>
      </c>
      <c r="O363" s="536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  <c r="AJ363" s="110"/>
      <c r="AK363" s="110"/>
      <c r="AL363" s="110"/>
      <c r="AM363" s="110"/>
      <c r="AN363" s="110"/>
    </row>
    <row r="364" spans="1:40" s="112" customFormat="1" ht="25.5" x14ac:dyDescent="0.2">
      <c r="A364" s="443" t="s">
        <v>315</v>
      </c>
      <c r="B364" s="378" t="s">
        <v>316</v>
      </c>
      <c r="C364" s="381"/>
      <c r="D364" s="381"/>
      <c r="E364" s="381"/>
      <c r="F364" s="381"/>
      <c r="G364" s="381"/>
      <c r="H364" s="381"/>
      <c r="I364" s="380"/>
      <c r="J364" s="380"/>
      <c r="K364" s="380"/>
      <c r="L364" s="1488"/>
      <c r="M364" s="535"/>
      <c r="N364" s="1616">
        <f t="shared" si="16"/>
        <v>0</v>
      </c>
      <c r="O364" s="536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  <c r="AJ364" s="110"/>
      <c r="AK364" s="110"/>
      <c r="AL364" s="110"/>
      <c r="AM364" s="110"/>
      <c r="AN364" s="110"/>
    </row>
    <row r="365" spans="1:40" s="1453" customFormat="1" ht="13.5" thickBot="1" x14ac:dyDescent="0.25">
      <c r="A365" s="518"/>
      <c r="B365" s="558" t="s">
        <v>392</v>
      </c>
      <c r="C365" s="559">
        <f>SUM('6. sz.melléklet'!C110)</f>
        <v>0</v>
      </c>
      <c r="D365" s="559">
        <f>SUM('6. sz.melléklet'!D110)</f>
        <v>0</v>
      </c>
      <c r="E365" s="559">
        <f>SUM('6. sz.melléklet'!E110)</f>
        <v>0</v>
      </c>
      <c r="F365" s="559"/>
      <c r="G365" s="559"/>
      <c r="H365" s="559"/>
      <c r="I365" s="570"/>
      <c r="J365" s="570"/>
      <c r="K365" s="570"/>
      <c r="L365" s="1490"/>
      <c r="M365" s="570"/>
      <c r="N365" s="1615">
        <f t="shared" si="16"/>
        <v>0</v>
      </c>
      <c r="O365" s="536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</row>
    <row r="366" spans="1:40" s="112" customFormat="1" ht="0.2" customHeight="1" x14ac:dyDescent="0.2">
      <c r="A366" s="1517"/>
      <c r="B366" s="533" t="s">
        <v>393</v>
      </c>
      <c r="C366" s="515"/>
      <c r="D366" s="515"/>
      <c r="E366" s="515"/>
      <c r="F366" s="515"/>
      <c r="G366" s="515"/>
      <c r="H366" s="515"/>
      <c r="I366" s="535"/>
      <c r="J366" s="535"/>
      <c r="K366" s="535"/>
      <c r="L366" s="1485"/>
      <c r="M366" s="1495"/>
      <c r="N366" s="1498">
        <f t="shared" si="16"/>
        <v>0</v>
      </c>
      <c r="O366" s="536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</row>
    <row r="367" spans="1:40" s="112" customFormat="1" ht="0.2" customHeight="1" x14ac:dyDescent="0.2">
      <c r="A367" s="443"/>
      <c r="B367" s="378" t="s">
        <v>391</v>
      </c>
      <c r="C367" s="381"/>
      <c r="D367" s="381"/>
      <c r="E367" s="381"/>
      <c r="F367" s="381"/>
      <c r="G367" s="381"/>
      <c r="H367" s="381"/>
      <c r="I367" s="380"/>
      <c r="J367" s="380"/>
      <c r="K367" s="380"/>
      <c r="L367" s="1488"/>
      <c r="M367" s="1495"/>
      <c r="N367" s="1498">
        <f t="shared" ref="N367" si="18">SUM(C367:M367)</f>
        <v>0</v>
      </c>
      <c r="O367" s="536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10"/>
      <c r="AK367" s="110"/>
      <c r="AL367" s="110"/>
      <c r="AM367" s="110"/>
      <c r="AN367" s="110"/>
    </row>
    <row r="368" spans="1:40" s="112" customFormat="1" x14ac:dyDescent="0.2">
      <c r="A368" s="443" t="s">
        <v>508</v>
      </c>
      <c r="B368" s="378" t="s">
        <v>509</v>
      </c>
      <c r="C368" s="381"/>
      <c r="D368" s="381"/>
      <c r="E368" s="381"/>
      <c r="F368" s="381"/>
      <c r="G368" s="381"/>
      <c r="H368" s="381"/>
      <c r="I368" s="380"/>
      <c r="J368" s="380"/>
      <c r="K368" s="380"/>
      <c r="L368" s="1488"/>
      <c r="M368" s="535"/>
      <c r="N368" s="1616"/>
      <c r="O368" s="536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</row>
    <row r="369" spans="1:40" s="1453" customFormat="1" ht="13.5" thickBot="1" x14ac:dyDescent="0.25">
      <c r="A369" s="518"/>
      <c r="B369" s="558" t="s">
        <v>392</v>
      </c>
      <c r="C369" s="559">
        <f>SUM('6. sz.melléklet'!C140)</f>
        <v>24</v>
      </c>
      <c r="D369" s="559"/>
      <c r="E369" s="559"/>
      <c r="F369" s="559"/>
      <c r="G369" s="559"/>
      <c r="H369" s="559"/>
      <c r="I369" s="570"/>
      <c r="J369" s="570"/>
      <c r="K369" s="570"/>
      <c r="L369" s="1490"/>
      <c r="M369" s="570"/>
      <c r="N369" s="1615">
        <f>SUM(C369:M369)</f>
        <v>24</v>
      </c>
      <c r="O369" s="536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</row>
    <row r="370" spans="1:40" s="112" customFormat="1" ht="0.2" customHeight="1" thickBot="1" x14ac:dyDescent="0.25">
      <c r="A370" s="1517"/>
      <c r="B370" s="533" t="s">
        <v>393</v>
      </c>
      <c r="C370" s="515"/>
      <c r="D370" s="515"/>
      <c r="E370" s="515"/>
      <c r="F370" s="515"/>
      <c r="G370" s="515"/>
      <c r="H370" s="515"/>
      <c r="I370" s="535"/>
      <c r="J370" s="535"/>
      <c r="K370" s="535"/>
      <c r="L370" s="1485"/>
      <c r="M370" s="1495"/>
      <c r="N370" s="1498"/>
      <c r="O370" s="536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</row>
    <row r="371" spans="1:40" s="112" customFormat="1" ht="0.2" customHeight="1" thickBot="1" x14ac:dyDescent="0.25">
      <c r="A371" s="518"/>
      <c r="B371" s="558" t="s">
        <v>391</v>
      </c>
      <c r="C371" s="559">
        <v>16</v>
      </c>
      <c r="D371" s="559"/>
      <c r="E371" s="559"/>
      <c r="F371" s="559"/>
      <c r="G371" s="559"/>
      <c r="H371" s="559"/>
      <c r="I371" s="570"/>
      <c r="J371" s="570"/>
      <c r="K371" s="570"/>
      <c r="L371" s="1490"/>
      <c r="M371" s="1495"/>
      <c r="N371" s="1498">
        <f>SUM(C371:M371)</f>
        <v>16</v>
      </c>
      <c r="O371" s="536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</row>
    <row r="372" spans="1:40" ht="13.5" thickBot="1" x14ac:dyDescent="0.25">
      <c r="A372" s="606" t="s">
        <v>394</v>
      </c>
      <c r="B372" s="1368"/>
      <c r="C372" s="588"/>
      <c r="D372" s="588"/>
      <c r="E372" s="588"/>
      <c r="F372" s="588"/>
      <c r="G372" s="588"/>
      <c r="H372" s="588"/>
      <c r="I372" s="588"/>
      <c r="J372" s="588"/>
      <c r="K372" s="588"/>
      <c r="L372" s="1491"/>
      <c r="M372" s="1581"/>
      <c r="N372" s="1624"/>
      <c r="O372" s="1583"/>
      <c r="P372" s="475"/>
      <c r="R372" s="1507"/>
    </row>
    <row r="373" spans="1:40" ht="13.5" thickBot="1" x14ac:dyDescent="0.25">
      <c r="A373" s="607"/>
      <c r="B373" s="594" t="s">
        <v>392</v>
      </c>
      <c r="C373" s="579">
        <f>C333+C337+C341+C345+C349+C353+C357+C361+C365+C369</f>
        <v>21995</v>
      </c>
      <c r="D373" s="579">
        <f t="shared" ref="D373:M373" si="19">D333+D337+D341+D345+D349+D353+D357+D361+D365</f>
        <v>6266</v>
      </c>
      <c r="E373" s="579">
        <f t="shared" si="19"/>
        <v>35997</v>
      </c>
      <c r="F373" s="579">
        <f t="shared" si="19"/>
        <v>0</v>
      </c>
      <c r="G373" s="579">
        <f t="shared" si="19"/>
        <v>0</v>
      </c>
      <c r="H373" s="579">
        <f t="shared" si="19"/>
        <v>2667</v>
      </c>
      <c r="I373" s="579">
        <f t="shared" si="19"/>
        <v>0</v>
      </c>
      <c r="J373" s="579">
        <f t="shared" si="19"/>
        <v>0</v>
      </c>
      <c r="K373" s="579">
        <f t="shared" si="19"/>
        <v>0</v>
      </c>
      <c r="L373" s="1135">
        <f t="shared" si="19"/>
        <v>0</v>
      </c>
      <c r="M373" s="1581">
        <f t="shared" si="19"/>
        <v>0</v>
      </c>
      <c r="N373" s="1134">
        <f>N333+N337+N341+N345+N349+N353+N357+N361+N365+N369</f>
        <v>66925</v>
      </c>
      <c r="O373" s="1583"/>
      <c r="P373" s="475"/>
      <c r="R373" s="1507"/>
    </row>
    <row r="374" spans="1:40" ht="0.2" customHeight="1" thickBot="1" x14ac:dyDescent="0.25">
      <c r="A374" s="607"/>
      <c r="B374" s="594" t="s">
        <v>393</v>
      </c>
      <c r="C374" s="579">
        <f t="shared" ref="C374:N374" si="20">C334+C338+C342+C346+C350+C354+C358+C362+C366</f>
        <v>0</v>
      </c>
      <c r="D374" s="579">
        <f t="shared" si="20"/>
        <v>0</v>
      </c>
      <c r="E374" s="579">
        <f t="shared" si="20"/>
        <v>0</v>
      </c>
      <c r="F374" s="579">
        <f t="shared" si="20"/>
        <v>0</v>
      </c>
      <c r="G374" s="579">
        <f t="shared" si="20"/>
        <v>0</v>
      </c>
      <c r="H374" s="579">
        <f t="shared" si="20"/>
        <v>0</v>
      </c>
      <c r="I374" s="579">
        <f t="shared" si="20"/>
        <v>0</v>
      </c>
      <c r="J374" s="579">
        <f t="shared" si="20"/>
        <v>0</v>
      </c>
      <c r="K374" s="579">
        <f t="shared" si="20"/>
        <v>0</v>
      </c>
      <c r="L374" s="1135">
        <f t="shared" si="20"/>
        <v>0</v>
      </c>
      <c r="M374" s="1491">
        <f t="shared" si="20"/>
        <v>0</v>
      </c>
      <c r="N374" s="1501">
        <f t="shared" si="20"/>
        <v>0</v>
      </c>
      <c r="O374" s="1583"/>
      <c r="P374" s="475"/>
      <c r="R374" s="1507"/>
    </row>
    <row r="375" spans="1:40" ht="0.2" customHeight="1" thickBot="1" x14ac:dyDescent="0.25">
      <c r="A375" s="607"/>
      <c r="B375" s="594" t="s">
        <v>391</v>
      </c>
      <c r="C375" s="579">
        <f>C335+C339+C343+C347+C351+C355+C359+C363+C367+C371</f>
        <v>16</v>
      </c>
      <c r="D375" s="579">
        <f t="shared" ref="D375:M375" si="21">D335+D339+D343+D347+D351+D355+D359+D363+D367</f>
        <v>0</v>
      </c>
      <c r="E375" s="579">
        <f t="shared" si="21"/>
        <v>0</v>
      </c>
      <c r="F375" s="579">
        <f t="shared" si="21"/>
        <v>0</v>
      </c>
      <c r="G375" s="579">
        <f t="shared" si="21"/>
        <v>0</v>
      </c>
      <c r="H375" s="579">
        <f t="shared" si="21"/>
        <v>0</v>
      </c>
      <c r="I375" s="579">
        <f t="shared" si="21"/>
        <v>0</v>
      </c>
      <c r="J375" s="579">
        <f t="shared" si="21"/>
        <v>0</v>
      </c>
      <c r="K375" s="579">
        <f t="shared" si="21"/>
        <v>0</v>
      </c>
      <c r="L375" s="1135">
        <f t="shared" si="21"/>
        <v>0</v>
      </c>
      <c r="M375" s="1491">
        <f t="shared" si="21"/>
        <v>0</v>
      </c>
      <c r="N375" s="1501">
        <f>N335+N339+N343+N347+N351+N355+N359+N363+N367+N371</f>
        <v>16</v>
      </c>
      <c r="O375" s="1583">
        <f>SUM(C375:M375)</f>
        <v>16</v>
      </c>
      <c r="P375" s="475"/>
      <c r="R375" s="1507"/>
    </row>
    <row r="376" spans="1:40" ht="2.25" customHeight="1" thickBot="1" x14ac:dyDescent="0.25">
      <c r="A376" s="607"/>
      <c r="B376" s="594"/>
      <c r="C376" s="1251"/>
      <c r="D376" s="1251"/>
      <c r="E376" s="1251"/>
      <c r="F376" s="1251"/>
      <c r="G376" s="1251"/>
      <c r="H376" s="1251"/>
      <c r="I376" s="1251"/>
      <c r="J376" s="1251"/>
      <c r="K376" s="1251"/>
      <c r="L376" s="1469"/>
      <c r="M376" s="1596"/>
      <c r="N376" s="1625"/>
      <c r="O376" s="1583"/>
      <c r="P376" s="475"/>
      <c r="R376" s="1507"/>
    </row>
    <row r="377" spans="1:40" ht="13.5" thickBot="1" x14ac:dyDescent="0.25">
      <c r="A377" s="608"/>
      <c r="B377" s="596"/>
      <c r="C377" s="581"/>
      <c r="D377" s="581"/>
      <c r="E377" s="581"/>
      <c r="F377" s="581"/>
      <c r="G377" s="581"/>
      <c r="H377" s="581"/>
      <c r="I377" s="581"/>
      <c r="J377" s="581"/>
      <c r="K377" s="581"/>
      <c r="L377" s="582"/>
      <c r="M377" s="1597"/>
      <c r="N377" s="1626"/>
      <c r="O377" s="1583"/>
      <c r="P377" s="475"/>
      <c r="R377" s="1507"/>
    </row>
    <row r="378" spans="1:40" s="1" customFormat="1" x14ac:dyDescent="0.2">
      <c r="A378" s="1899" t="s">
        <v>384</v>
      </c>
      <c r="B378" s="1900"/>
      <c r="C378" s="1598"/>
      <c r="D378" s="1598"/>
      <c r="E378" s="1598"/>
      <c r="F378" s="1598"/>
      <c r="G378" s="1598"/>
      <c r="H378" s="1598"/>
      <c r="I378" s="1598"/>
      <c r="J378" s="1598"/>
      <c r="K378" s="1598"/>
      <c r="L378" s="1598"/>
      <c r="M378" s="1598"/>
      <c r="N378" s="1614"/>
      <c r="O378" s="1629"/>
      <c r="P378" s="507"/>
      <c r="Q378" s="1502"/>
      <c r="R378" s="1502"/>
      <c r="S378" s="1502"/>
      <c r="T378" s="1502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1:40" ht="13.5" thickBot="1" x14ac:dyDescent="0.25">
      <c r="A379" s="1599"/>
      <c r="B379" s="604" t="s">
        <v>392</v>
      </c>
      <c r="C379" s="1600">
        <f>C315+C326+C373</f>
        <v>250958</v>
      </c>
      <c r="D379" s="1600">
        <f t="shared" ref="D379:N379" si="22">D315+D326+D373</f>
        <v>73576</v>
      </c>
      <c r="E379" s="1600">
        <f t="shared" si="22"/>
        <v>298864</v>
      </c>
      <c r="F379" s="1600">
        <f t="shared" si="22"/>
        <v>50501</v>
      </c>
      <c r="G379" s="1600">
        <f t="shared" si="22"/>
        <v>227360</v>
      </c>
      <c r="H379" s="1600">
        <f t="shared" si="22"/>
        <v>297239</v>
      </c>
      <c r="I379" s="1600">
        <f t="shared" si="22"/>
        <v>41708</v>
      </c>
      <c r="J379" s="1600">
        <f t="shared" si="22"/>
        <v>169055</v>
      </c>
      <c r="K379" s="1600">
        <f t="shared" si="22"/>
        <v>64451</v>
      </c>
      <c r="L379" s="1600">
        <f t="shared" si="22"/>
        <v>20400</v>
      </c>
      <c r="M379" s="1600">
        <f t="shared" si="22"/>
        <v>3424</v>
      </c>
      <c r="N379" s="1627">
        <f t="shared" si="22"/>
        <v>1497536</v>
      </c>
      <c r="O379" s="1630">
        <f>SUM(C379:M379)</f>
        <v>1497536</v>
      </c>
      <c r="P379" s="1506"/>
    </row>
    <row r="380" spans="1:40" ht="0.2" customHeight="1" x14ac:dyDescent="0.2">
      <c r="A380" s="1592"/>
      <c r="B380" s="1593" t="s">
        <v>393</v>
      </c>
      <c r="C380" s="1594">
        <f t="shared" ref="C380:M380" si="23">C316+C327+C374</f>
        <v>83587</v>
      </c>
      <c r="D380" s="1594">
        <f t="shared" si="23"/>
        <v>23898</v>
      </c>
      <c r="E380" s="1594">
        <f t="shared" si="23"/>
        <v>32456</v>
      </c>
      <c r="F380" s="1594">
        <f t="shared" si="23"/>
        <v>0</v>
      </c>
      <c r="G380" s="1594">
        <f t="shared" si="23"/>
        <v>0</v>
      </c>
      <c r="H380" s="1594">
        <f t="shared" si="23"/>
        <v>2790</v>
      </c>
      <c r="I380" s="1594">
        <f t="shared" si="23"/>
        <v>0</v>
      </c>
      <c r="J380" s="1594">
        <f t="shared" si="23"/>
        <v>0</v>
      </c>
      <c r="K380" s="1594">
        <f t="shared" si="23"/>
        <v>22658</v>
      </c>
      <c r="L380" s="1595">
        <f t="shared" si="23"/>
        <v>-14950</v>
      </c>
      <c r="M380" s="1503">
        <f t="shared" si="23"/>
        <v>0</v>
      </c>
      <c r="N380" s="1504">
        <f>SUM(N374,N327,N316)</f>
        <v>150439</v>
      </c>
      <c r="O380" s="1507">
        <v>1914676</v>
      </c>
      <c r="P380" s="1507">
        <f>SUM(C380:M380)</f>
        <v>150439</v>
      </c>
    </row>
    <row r="381" spans="1:40" ht="0.2" customHeight="1" thickBot="1" x14ac:dyDescent="0.25">
      <c r="A381" s="603"/>
      <c r="B381" s="604" t="s">
        <v>391</v>
      </c>
      <c r="C381" s="602">
        <f t="shared" ref="C381:M381" si="24">C317+C328+C375</f>
        <v>57247</v>
      </c>
      <c r="D381" s="602">
        <f t="shared" si="24"/>
        <v>16594</v>
      </c>
      <c r="E381" s="602">
        <f t="shared" si="24"/>
        <v>20040</v>
      </c>
      <c r="F381" s="602">
        <f t="shared" si="24"/>
        <v>0</v>
      </c>
      <c r="G381" s="602">
        <f t="shared" si="24"/>
        <v>0</v>
      </c>
      <c r="H381" s="602">
        <f t="shared" si="24"/>
        <v>2795</v>
      </c>
      <c r="I381" s="602">
        <f t="shared" si="24"/>
        <v>0</v>
      </c>
      <c r="J381" s="602">
        <f t="shared" si="24"/>
        <v>0</v>
      </c>
      <c r="K381" s="602">
        <f t="shared" si="24"/>
        <v>0</v>
      </c>
      <c r="L381" s="1492">
        <f t="shared" si="24"/>
        <v>0</v>
      </c>
      <c r="M381" s="1503">
        <f t="shared" si="24"/>
        <v>0</v>
      </c>
      <c r="N381" s="1504">
        <f>SUM(N375,N328,N317)</f>
        <v>96676</v>
      </c>
      <c r="O381" s="1507"/>
      <c r="P381" s="1507">
        <v>1315833</v>
      </c>
    </row>
    <row r="382" spans="1:40" ht="0.2" customHeight="1" thickBot="1" x14ac:dyDescent="0.25">
      <c r="A382" s="605"/>
      <c r="B382" s="1250" t="s">
        <v>502</v>
      </c>
      <c r="C382" s="1253">
        <f>SUM(C381/C380)</f>
        <v>0.68487922763109099</v>
      </c>
      <c r="D382" s="1253">
        <f t="shared" ref="D382:N382" si="25">SUM(D381/D380)</f>
        <v>0.69436772951711445</v>
      </c>
      <c r="E382" s="1253">
        <f t="shared" si="25"/>
        <v>0.61745131870840519</v>
      </c>
      <c r="F382" s="1253" t="e">
        <f t="shared" si="25"/>
        <v>#DIV/0!</v>
      </c>
      <c r="G382" s="1253" t="e">
        <f t="shared" si="25"/>
        <v>#DIV/0!</v>
      </c>
      <c r="H382" s="1253">
        <f t="shared" si="25"/>
        <v>1.0017921146953406</v>
      </c>
      <c r="I382" s="1253" t="e">
        <f t="shared" si="25"/>
        <v>#DIV/0!</v>
      </c>
      <c r="J382" s="1253" t="e">
        <f t="shared" si="25"/>
        <v>#DIV/0!</v>
      </c>
      <c r="K382" s="1253">
        <f t="shared" si="25"/>
        <v>0</v>
      </c>
      <c r="L382" s="1509">
        <f t="shared" si="25"/>
        <v>0</v>
      </c>
      <c r="M382" s="1508" t="e">
        <f t="shared" si="25"/>
        <v>#DIV/0!</v>
      </c>
      <c r="N382" s="1509">
        <f t="shared" si="25"/>
        <v>0.6426259148226191</v>
      </c>
      <c r="O382" s="1507"/>
      <c r="P382" s="1507"/>
    </row>
    <row r="383" spans="1:40" x14ac:dyDescent="0.2">
      <c r="C383" s="160"/>
      <c r="D383" s="160"/>
      <c r="E383" s="160"/>
      <c r="F383" s="160"/>
      <c r="G383" s="160"/>
      <c r="H383" s="160"/>
      <c r="I383" s="160"/>
      <c r="J383" s="160"/>
      <c r="K383" s="160"/>
      <c r="L383" s="1699"/>
      <c r="M383" s="1699"/>
      <c r="N383" s="1511"/>
      <c r="O383" s="1507"/>
      <c r="P383" s="1507"/>
    </row>
    <row r="384" spans="1:40" x14ac:dyDescent="0.2">
      <c r="C384" s="160"/>
      <c r="D384" s="160"/>
      <c r="E384" s="160"/>
      <c r="F384" s="160"/>
      <c r="G384" s="160"/>
      <c r="H384" s="160"/>
      <c r="I384" s="160"/>
      <c r="J384" s="160"/>
      <c r="K384" s="160"/>
      <c r="L384" s="1507"/>
      <c r="M384" s="1507"/>
      <c r="N384" s="1511"/>
      <c r="O384" s="1507"/>
      <c r="P384" s="1507"/>
    </row>
    <row r="385" spans="3:16" x14ac:dyDescent="0.2">
      <c r="C385" s="160"/>
      <c r="D385" s="160"/>
      <c r="E385" s="160"/>
      <c r="F385" s="160"/>
      <c r="G385" s="160"/>
      <c r="H385" s="160"/>
      <c r="I385" s="160"/>
      <c r="J385" s="160"/>
      <c r="K385" s="160"/>
      <c r="L385" s="1507"/>
      <c r="M385" s="1507"/>
      <c r="N385" s="1511"/>
      <c r="O385" s="1507"/>
      <c r="P385" s="1507"/>
    </row>
    <row r="386" spans="3:16" x14ac:dyDescent="0.2">
      <c r="C386" s="160"/>
      <c r="D386" s="160"/>
      <c r="E386" s="160"/>
      <c r="F386" s="160"/>
      <c r="G386" s="160"/>
      <c r="H386" s="160"/>
      <c r="I386" s="160"/>
      <c r="J386" s="160"/>
      <c r="K386" s="160"/>
      <c r="L386" s="1507"/>
      <c r="M386" s="1507"/>
      <c r="N386" s="1511"/>
      <c r="O386" s="1507"/>
      <c r="P386" s="1507"/>
    </row>
    <row r="387" spans="3:16" x14ac:dyDescent="0.2">
      <c r="C387" s="160"/>
      <c r="D387" s="160"/>
      <c r="E387" s="160"/>
      <c r="F387" s="160"/>
      <c r="G387" s="160"/>
      <c r="H387" s="160"/>
      <c r="I387" s="160"/>
      <c r="J387" s="160"/>
      <c r="K387" s="160"/>
      <c r="L387" s="1507"/>
      <c r="M387" s="1507"/>
      <c r="N387" s="1511"/>
      <c r="O387" s="1507"/>
      <c r="P387" s="1507"/>
    </row>
    <row r="388" spans="3:16" x14ac:dyDescent="0.2">
      <c r="C388" s="160"/>
      <c r="D388" s="160"/>
      <c r="E388" s="160"/>
      <c r="F388" s="160"/>
      <c r="G388" s="160"/>
      <c r="H388" s="160"/>
      <c r="I388" s="160"/>
      <c r="J388" s="160"/>
      <c r="K388" s="160"/>
      <c r="L388" s="1507"/>
      <c r="M388" s="1507"/>
      <c r="N388" s="1511"/>
      <c r="O388" s="1507"/>
      <c r="P388" s="1507"/>
    </row>
    <row r="389" spans="3:16" x14ac:dyDescent="0.2">
      <c r="C389" s="160"/>
      <c r="D389" s="160"/>
      <c r="E389" s="160"/>
      <c r="F389" s="160"/>
      <c r="G389" s="160"/>
      <c r="H389" s="160"/>
      <c r="I389" s="160"/>
      <c r="J389" s="160"/>
      <c r="K389" s="160"/>
      <c r="L389" s="1507"/>
      <c r="M389" s="1507"/>
      <c r="N389" s="1511"/>
      <c r="O389" s="1507"/>
      <c r="P389" s="1507"/>
    </row>
    <row r="390" spans="3:16" x14ac:dyDescent="0.2">
      <c r="C390" s="160"/>
      <c r="D390" s="160"/>
      <c r="E390" s="160"/>
      <c r="F390" s="160"/>
      <c r="G390" s="160"/>
      <c r="H390" s="160"/>
      <c r="I390" s="160"/>
      <c r="J390" s="160"/>
      <c r="K390" s="160"/>
      <c r="L390" s="1507"/>
      <c r="M390" s="1507"/>
      <c r="N390" s="1511"/>
      <c r="O390" s="1507"/>
      <c r="P390" s="1507"/>
    </row>
    <row r="391" spans="3:16" ht="15" customHeight="1" x14ac:dyDescent="0.2">
      <c r="C391" s="160"/>
      <c r="D391" s="160"/>
      <c r="E391" s="160"/>
      <c r="F391" s="160"/>
      <c r="G391" s="160"/>
      <c r="H391" s="160"/>
      <c r="I391" s="160"/>
      <c r="J391" s="160"/>
      <c r="K391" s="160"/>
      <c r="L391" s="1507"/>
      <c r="M391" s="1507"/>
      <c r="N391" s="1511"/>
      <c r="O391" s="1507"/>
      <c r="P391" s="1507"/>
    </row>
    <row r="392" spans="3:16" ht="15" customHeight="1" x14ac:dyDescent="0.2">
      <c r="C392" s="160"/>
      <c r="D392" s="160"/>
      <c r="E392" s="160"/>
      <c r="F392" s="160"/>
      <c r="G392" s="160"/>
      <c r="H392" s="160"/>
      <c r="I392" s="160"/>
      <c r="J392" s="160"/>
      <c r="K392" s="160"/>
      <c r="L392" s="1507"/>
      <c r="M392" s="1507"/>
      <c r="N392" s="1511"/>
      <c r="O392" s="1507"/>
      <c r="P392" s="1507"/>
    </row>
    <row r="393" spans="3:16" ht="15" customHeight="1" x14ac:dyDescent="0.2">
      <c r="C393" s="160"/>
      <c r="D393" s="160"/>
      <c r="E393" s="160"/>
      <c r="F393" s="160"/>
      <c r="G393" s="160"/>
      <c r="H393" s="160"/>
      <c r="I393" s="160"/>
      <c r="J393" s="160"/>
      <c r="K393" s="160"/>
      <c r="L393" s="1507"/>
      <c r="M393" s="1507"/>
      <c r="N393" s="1511"/>
      <c r="O393" s="1507"/>
      <c r="P393" s="1507"/>
    </row>
    <row r="394" spans="3:16" ht="15" customHeight="1" x14ac:dyDescent="0.2">
      <c r="C394" s="160"/>
      <c r="D394" s="160"/>
      <c r="E394" s="160"/>
      <c r="F394" s="160"/>
      <c r="G394" s="160"/>
      <c r="H394" s="160"/>
      <c r="I394" s="160"/>
      <c r="J394" s="160"/>
      <c r="K394" s="160"/>
      <c r="L394" s="1507"/>
      <c r="M394" s="1507"/>
      <c r="N394" s="1511"/>
      <c r="O394" s="1507"/>
      <c r="P394" s="1507"/>
    </row>
    <row r="395" spans="3:16" ht="15" customHeight="1" x14ac:dyDescent="0.2">
      <c r="C395" s="160"/>
      <c r="D395" s="160"/>
      <c r="E395" s="160"/>
      <c r="F395" s="160"/>
      <c r="G395" s="160"/>
      <c r="H395" s="160"/>
      <c r="I395" s="160"/>
      <c r="J395" s="160"/>
      <c r="K395" s="160"/>
      <c r="L395" s="1507"/>
      <c r="M395" s="1507"/>
      <c r="N395" s="1511"/>
      <c r="O395" s="1507"/>
      <c r="P395" s="1507"/>
    </row>
    <row r="396" spans="3:16" ht="15" customHeight="1" x14ac:dyDescent="0.2">
      <c r="C396" s="160"/>
      <c r="D396" s="160"/>
      <c r="E396" s="160"/>
      <c r="F396" s="160"/>
      <c r="G396" s="160"/>
      <c r="H396" s="160"/>
      <c r="I396" s="160"/>
      <c r="J396" s="160"/>
      <c r="K396" s="160"/>
      <c r="L396" s="1507"/>
      <c r="M396" s="1507"/>
      <c r="N396" s="1511"/>
      <c r="O396" s="1507"/>
      <c r="P396" s="1507"/>
    </row>
    <row r="397" spans="3:16" ht="15" customHeight="1" x14ac:dyDescent="0.2">
      <c r="C397" s="160"/>
      <c r="D397" s="160"/>
      <c r="E397" s="160"/>
      <c r="F397" s="160"/>
      <c r="G397" s="160"/>
      <c r="H397" s="160"/>
      <c r="I397" s="160"/>
      <c r="J397" s="160"/>
      <c r="K397" s="160"/>
      <c r="L397" s="1507"/>
      <c r="M397" s="1507"/>
      <c r="N397" s="1511"/>
      <c r="O397" s="1507"/>
      <c r="P397" s="1507"/>
    </row>
    <row r="398" spans="3:16" ht="15" customHeight="1" x14ac:dyDescent="0.2">
      <c r="C398" s="160"/>
      <c r="D398" s="160"/>
      <c r="E398" s="160"/>
      <c r="F398" s="160"/>
      <c r="G398" s="160"/>
      <c r="H398" s="160"/>
      <c r="I398" s="160"/>
      <c r="J398" s="160"/>
      <c r="K398" s="160"/>
      <c r="L398" s="1507"/>
      <c r="M398" s="1507"/>
      <c r="N398" s="1511"/>
      <c r="O398" s="1507"/>
      <c r="P398" s="1507"/>
    </row>
    <row r="399" spans="3:16" ht="15" customHeight="1" x14ac:dyDescent="0.2">
      <c r="C399" s="160"/>
      <c r="D399" s="160"/>
      <c r="E399" s="160"/>
      <c r="F399" s="160"/>
      <c r="G399" s="160"/>
      <c r="H399" s="160"/>
      <c r="I399" s="160"/>
      <c r="J399" s="160"/>
      <c r="K399" s="160"/>
      <c r="L399" s="1507"/>
      <c r="M399" s="1507"/>
      <c r="N399" s="1511"/>
      <c r="O399" s="1507"/>
      <c r="P399" s="1507"/>
    </row>
    <row r="400" spans="3:16" ht="15" customHeight="1" x14ac:dyDescent="0.2">
      <c r="C400" s="160"/>
      <c r="D400" s="160"/>
      <c r="E400" s="160"/>
      <c r="F400" s="160"/>
      <c r="G400" s="160"/>
      <c r="H400" s="160"/>
      <c r="I400" s="160"/>
      <c r="J400" s="160"/>
      <c r="K400" s="160"/>
      <c r="L400" s="1507"/>
      <c r="M400" s="1507"/>
      <c r="N400" s="1511"/>
      <c r="O400" s="1507"/>
      <c r="P400" s="1507"/>
    </row>
    <row r="401" spans="3:16" ht="15" customHeight="1" x14ac:dyDescent="0.2">
      <c r="C401" s="160"/>
      <c r="D401" s="160"/>
      <c r="E401" s="160"/>
      <c r="F401" s="160"/>
      <c r="G401" s="160"/>
      <c r="H401" s="160"/>
      <c r="I401" s="160"/>
      <c r="J401" s="160"/>
      <c r="K401" s="160"/>
      <c r="L401" s="1507"/>
      <c r="M401" s="1507"/>
      <c r="N401" s="1511"/>
      <c r="O401" s="1507"/>
      <c r="P401" s="1507"/>
    </row>
    <row r="402" spans="3:16" ht="15" customHeight="1" x14ac:dyDescent="0.2">
      <c r="C402" s="160"/>
      <c r="D402" s="160"/>
      <c r="E402" s="160"/>
      <c r="F402" s="160"/>
      <c r="G402" s="160"/>
      <c r="H402" s="160"/>
      <c r="I402" s="160"/>
      <c r="J402" s="160"/>
      <c r="K402" s="160"/>
      <c r="L402" s="1507"/>
      <c r="M402" s="1507"/>
      <c r="N402" s="1511"/>
      <c r="O402" s="1507"/>
      <c r="P402" s="1507"/>
    </row>
    <row r="403" spans="3:16" ht="15" customHeight="1" x14ac:dyDescent="0.2">
      <c r="C403" s="160"/>
      <c r="D403" s="160"/>
      <c r="E403" s="160"/>
      <c r="F403" s="160"/>
      <c r="G403" s="160"/>
      <c r="H403" s="160"/>
      <c r="I403" s="160"/>
      <c r="J403" s="160"/>
      <c r="K403" s="160"/>
      <c r="L403" s="1507"/>
      <c r="M403" s="1507"/>
      <c r="N403" s="1511"/>
      <c r="O403" s="1507"/>
      <c r="P403" s="1507"/>
    </row>
    <row r="404" spans="3:16" ht="15" customHeight="1" x14ac:dyDescent="0.2">
      <c r="C404" s="160"/>
      <c r="D404" s="160"/>
      <c r="E404" s="160"/>
      <c r="F404" s="160"/>
      <c r="G404" s="160"/>
      <c r="H404" s="160"/>
      <c r="I404" s="160"/>
      <c r="J404" s="160"/>
      <c r="K404" s="160"/>
      <c r="L404" s="1507"/>
      <c r="M404" s="1507"/>
      <c r="N404" s="1511"/>
      <c r="O404" s="1507"/>
      <c r="P404" s="1507"/>
    </row>
    <row r="405" spans="3:16" ht="15" customHeight="1" x14ac:dyDescent="0.2">
      <c r="C405" s="160"/>
      <c r="D405" s="160"/>
      <c r="E405" s="160"/>
      <c r="F405" s="160"/>
      <c r="G405" s="160"/>
      <c r="H405" s="160"/>
      <c r="I405" s="160"/>
      <c r="J405" s="160"/>
      <c r="K405" s="160"/>
      <c r="L405" s="1507"/>
      <c r="M405" s="1507"/>
      <c r="N405" s="1511"/>
      <c r="O405" s="1507"/>
      <c r="P405" s="1507"/>
    </row>
    <row r="406" spans="3:16" ht="15" customHeight="1" x14ac:dyDescent="0.2">
      <c r="C406" s="160"/>
      <c r="D406" s="160"/>
      <c r="E406" s="160"/>
      <c r="F406" s="160"/>
      <c r="G406" s="160"/>
      <c r="H406" s="160"/>
      <c r="I406" s="160"/>
      <c r="J406" s="160"/>
      <c r="K406" s="160"/>
      <c r="L406" s="1507"/>
      <c r="M406" s="1507"/>
      <c r="N406" s="1511"/>
      <c r="O406" s="1507"/>
      <c r="P406" s="1507"/>
    </row>
    <row r="407" spans="3:16" ht="15" customHeight="1" x14ac:dyDescent="0.2">
      <c r="C407" s="160"/>
      <c r="D407" s="160"/>
      <c r="E407" s="160"/>
      <c r="F407" s="160"/>
      <c r="G407" s="160"/>
      <c r="H407" s="160"/>
      <c r="I407" s="160"/>
      <c r="J407" s="160"/>
      <c r="K407" s="160"/>
      <c r="L407" s="1507"/>
      <c r="M407" s="1507"/>
      <c r="N407" s="1511"/>
      <c r="O407" s="1507"/>
      <c r="P407" s="1507"/>
    </row>
    <row r="408" spans="3:16" ht="15" customHeight="1" x14ac:dyDescent="0.2">
      <c r="C408" s="160"/>
      <c r="D408" s="160"/>
      <c r="E408" s="160"/>
      <c r="F408" s="160"/>
      <c r="G408" s="160"/>
      <c r="H408" s="160"/>
      <c r="I408" s="160"/>
      <c r="J408" s="160"/>
      <c r="K408" s="160"/>
      <c r="L408" s="1507"/>
      <c r="M408" s="1507"/>
      <c r="N408" s="1511"/>
      <c r="O408" s="1507"/>
      <c r="P408" s="1507"/>
    </row>
    <row r="409" spans="3:16" ht="15" customHeight="1" x14ac:dyDescent="0.2">
      <c r="C409" s="160"/>
      <c r="D409" s="160"/>
      <c r="E409" s="160"/>
      <c r="F409" s="160"/>
      <c r="G409" s="160"/>
      <c r="H409" s="160"/>
      <c r="I409" s="160"/>
      <c r="J409" s="160"/>
      <c r="K409" s="160"/>
      <c r="L409" s="1507"/>
      <c r="M409" s="1507"/>
      <c r="N409" s="1511"/>
      <c r="O409" s="1507"/>
      <c r="P409" s="1507"/>
    </row>
    <row r="410" spans="3:16" ht="15" customHeight="1" x14ac:dyDescent="0.2">
      <c r="C410" s="160"/>
      <c r="D410" s="160"/>
      <c r="E410" s="160"/>
      <c r="F410" s="160"/>
      <c r="G410" s="160"/>
      <c r="H410" s="160"/>
      <c r="I410" s="160"/>
      <c r="J410" s="160"/>
      <c r="K410" s="160"/>
      <c r="L410" s="1507"/>
      <c r="M410" s="1507"/>
      <c r="N410" s="1511"/>
      <c r="O410" s="1507"/>
      <c r="P410" s="1507"/>
    </row>
    <row r="411" spans="3:16" ht="15" customHeight="1" x14ac:dyDescent="0.2">
      <c r="C411" s="160"/>
      <c r="D411" s="160"/>
      <c r="E411" s="160"/>
      <c r="F411" s="160"/>
      <c r="G411" s="160"/>
      <c r="H411" s="160"/>
      <c r="I411" s="160"/>
      <c r="J411" s="160"/>
      <c r="K411" s="160"/>
      <c r="L411" s="1507"/>
      <c r="M411" s="1507"/>
      <c r="N411" s="1511"/>
      <c r="O411" s="1507"/>
      <c r="P411" s="1507"/>
    </row>
    <row r="412" spans="3:16" ht="15" customHeight="1" x14ac:dyDescent="0.2">
      <c r="C412" s="160"/>
      <c r="D412" s="160"/>
      <c r="E412" s="160"/>
      <c r="F412" s="160"/>
      <c r="G412" s="160"/>
      <c r="H412" s="160"/>
      <c r="I412" s="160"/>
      <c r="J412" s="160"/>
      <c r="K412" s="160"/>
      <c r="L412" s="1507"/>
      <c r="M412" s="1507"/>
      <c r="N412" s="1511"/>
      <c r="O412" s="1507"/>
      <c r="P412" s="1507"/>
    </row>
    <row r="413" spans="3:16" ht="15" customHeight="1" x14ac:dyDescent="0.2">
      <c r="C413" s="160"/>
      <c r="D413" s="160"/>
      <c r="E413" s="160"/>
      <c r="F413" s="160"/>
      <c r="G413" s="160"/>
      <c r="H413" s="160"/>
      <c r="I413" s="160"/>
      <c r="J413" s="160"/>
      <c r="K413" s="160"/>
      <c r="L413" s="1507"/>
      <c r="M413" s="1507"/>
      <c r="N413" s="1511"/>
      <c r="O413" s="1507"/>
      <c r="P413" s="1507"/>
    </row>
    <row r="414" spans="3:16" ht="15" customHeight="1" x14ac:dyDescent="0.2">
      <c r="C414" s="160"/>
      <c r="D414" s="160"/>
      <c r="E414" s="160"/>
      <c r="F414" s="160"/>
      <c r="G414" s="160"/>
      <c r="H414" s="160"/>
      <c r="I414" s="160"/>
      <c r="J414" s="160"/>
      <c r="K414" s="160"/>
      <c r="L414" s="1507"/>
      <c r="M414" s="1507"/>
      <c r="N414" s="1511"/>
      <c r="O414" s="1507"/>
      <c r="P414" s="1507"/>
    </row>
    <row r="415" spans="3:16" ht="15" customHeight="1" x14ac:dyDescent="0.2">
      <c r="C415" s="160"/>
      <c r="D415" s="160"/>
      <c r="E415" s="160"/>
      <c r="F415" s="160"/>
      <c r="G415" s="160"/>
      <c r="H415" s="160"/>
      <c r="I415" s="160"/>
      <c r="J415" s="160"/>
      <c r="K415" s="160"/>
      <c r="L415" s="1507"/>
      <c r="M415" s="1507"/>
      <c r="N415" s="1511"/>
      <c r="O415" s="1507"/>
      <c r="P415" s="1507"/>
    </row>
    <row r="416" spans="3:16" ht="15" customHeight="1" x14ac:dyDescent="0.2">
      <c r="C416" s="160"/>
      <c r="D416" s="160"/>
      <c r="E416" s="160"/>
      <c r="F416" s="160"/>
      <c r="G416" s="160"/>
      <c r="H416" s="160"/>
      <c r="I416" s="160"/>
      <c r="J416" s="160"/>
      <c r="K416" s="160"/>
      <c r="L416" s="1507"/>
      <c r="M416" s="1507"/>
      <c r="N416" s="1511"/>
      <c r="O416" s="1507"/>
      <c r="P416" s="1507"/>
    </row>
    <row r="417" spans="3:16" ht="15" customHeight="1" x14ac:dyDescent="0.2">
      <c r="C417" s="160"/>
      <c r="D417" s="160"/>
      <c r="E417" s="160"/>
      <c r="F417" s="160"/>
      <c r="G417" s="160"/>
      <c r="H417" s="160"/>
      <c r="I417" s="160"/>
      <c r="J417" s="160"/>
      <c r="K417" s="160"/>
      <c r="L417" s="1507"/>
      <c r="M417" s="1507"/>
      <c r="N417" s="1511"/>
      <c r="O417" s="1507"/>
      <c r="P417" s="1507"/>
    </row>
    <row r="418" spans="3:16" ht="15" customHeight="1" x14ac:dyDescent="0.2">
      <c r="C418" s="160"/>
      <c r="D418" s="160"/>
      <c r="E418" s="160"/>
      <c r="F418" s="160"/>
      <c r="G418" s="160"/>
      <c r="H418" s="160"/>
      <c r="I418" s="160"/>
      <c r="J418" s="160"/>
      <c r="K418" s="160"/>
      <c r="L418" s="1507"/>
      <c r="M418" s="1507"/>
      <c r="N418" s="1511"/>
      <c r="O418" s="1507"/>
      <c r="P418" s="1507"/>
    </row>
    <row r="419" spans="3:16" ht="15" customHeight="1" x14ac:dyDescent="0.2">
      <c r="C419" s="160"/>
      <c r="D419" s="160"/>
      <c r="E419" s="160"/>
      <c r="F419" s="160"/>
      <c r="G419" s="160"/>
      <c r="H419" s="160"/>
      <c r="I419" s="160"/>
      <c r="J419" s="160"/>
      <c r="K419" s="160"/>
      <c r="L419" s="1507"/>
      <c r="M419" s="1507"/>
      <c r="N419" s="1511"/>
      <c r="O419" s="1507"/>
      <c r="P419" s="1507"/>
    </row>
    <row r="420" spans="3:16" ht="15" customHeight="1" x14ac:dyDescent="0.2">
      <c r="C420" s="160"/>
      <c r="D420" s="160"/>
      <c r="E420" s="160"/>
      <c r="F420" s="160"/>
      <c r="G420" s="160"/>
      <c r="H420" s="160"/>
      <c r="I420" s="160"/>
      <c r="J420" s="160"/>
      <c r="K420" s="160"/>
      <c r="L420" s="1507"/>
      <c r="M420" s="1507"/>
      <c r="N420" s="1511"/>
      <c r="O420" s="1507"/>
      <c r="P420" s="1507"/>
    </row>
    <row r="421" spans="3:16" ht="15" customHeight="1" x14ac:dyDescent="0.2">
      <c r="C421" s="160"/>
      <c r="D421" s="160"/>
      <c r="E421" s="160"/>
      <c r="F421" s="160"/>
      <c r="G421" s="160"/>
      <c r="H421" s="160"/>
      <c r="I421" s="160"/>
      <c r="J421" s="160"/>
      <c r="K421" s="160"/>
      <c r="L421" s="1507"/>
      <c r="M421" s="1507"/>
      <c r="N421" s="1511"/>
      <c r="O421" s="1507"/>
      <c r="P421" s="1507"/>
    </row>
    <row r="422" spans="3:16" ht="15" customHeight="1" x14ac:dyDescent="0.2">
      <c r="C422" s="160"/>
      <c r="D422" s="160"/>
      <c r="E422" s="160"/>
      <c r="F422" s="160"/>
      <c r="G422" s="160"/>
      <c r="H422" s="160"/>
      <c r="I422" s="160"/>
      <c r="J422" s="160"/>
      <c r="K422" s="160"/>
      <c r="L422" s="1507"/>
      <c r="M422" s="1507"/>
      <c r="N422" s="1511"/>
      <c r="O422" s="1507"/>
      <c r="P422" s="1507"/>
    </row>
    <row r="423" spans="3:16" ht="15" customHeight="1" x14ac:dyDescent="0.2">
      <c r="C423" s="160"/>
      <c r="D423" s="160"/>
      <c r="E423" s="160"/>
      <c r="F423" s="160"/>
      <c r="G423" s="160"/>
      <c r="H423" s="160"/>
      <c r="I423" s="160"/>
      <c r="J423" s="160"/>
      <c r="K423" s="160"/>
      <c r="L423" s="1507"/>
      <c r="M423" s="1507"/>
      <c r="N423" s="1511"/>
      <c r="O423" s="1507"/>
      <c r="P423" s="1507"/>
    </row>
    <row r="424" spans="3:16" ht="15" customHeight="1" x14ac:dyDescent="0.2">
      <c r="C424" s="160"/>
      <c r="D424" s="160"/>
      <c r="E424" s="160"/>
      <c r="F424" s="160"/>
      <c r="G424" s="160"/>
      <c r="H424" s="160"/>
      <c r="I424" s="160"/>
      <c r="J424" s="160"/>
      <c r="K424" s="160"/>
      <c r="L424" s="1507"/>
      <c r="M424" s="1507"/>
      <c r="N424" s="1511"/>
      <c r="O424" s="1507"/>
      <c r="P424" s="1507"/>
    </row>
    <row r="425" spans="3:16" ht="15" customHeight="1" x14ac:dyDescent="0.2">
      <c r="C425" s="160"/>
      <c r="D425" s="160"/>
      <c r="E425" s="160"/>
      <c r="F425" s="160"/>
      <c r="G425" s="160"/>
      <c r="H425" s="160"/>
      <c r="I425" s="160"/>
      <c r="J425" s="160"/>
      <c r="K425" s="160"/>
      <c r="L425" s="1507"/>
      <c r="M425" s="1507"/>
      <c r="N425" s="1511"/>
      <c r="O425" s="1507"/>
      <c r="P425" s="1507"/>
    </row>
    <row r="426" spans="3:16" ht="15" customHeight="1" x14ac:dyDescent="0.2">
      <c r="C426" s="160"/>
      <c r="D426" s="160"/>
      <c r="E426" s="160"/>
      <c r="F426" s="160"/>
      <c r="G426" s="160"/>
      <c r="H426" s="160"/>
      <c r="I426" s="160"/>
      <c r="J426" s="160"/>
      <c r="K426" s="160"/>
      <c r="L426" s="1507"/>
      <c r="M426" s="1507"/>
      <c r="N426" s="1511"/>
      <c r="O426" s="1507"/>
      <c r="P426" s="1507"/>
    </row>
    <row r="427" spans="3:16" ht="15" customHeight="1" x14ac:dyDescent="0.2">
      <c r="C427" s="160"/>
      <c r="D427" s="160"/>
      <c r="E427" s="160"/>
      <c r="F427" s="160"/>
      <c r="G427" s="160"/>
      <c r="H427" s="160"/>
      <c r="I427" s="160"/>
      <c r="J427" s="160"/>
      <c r="K427" s="160"/>
      <c r="L427" s="1507"/>
      <c r="M427" s="1507"/>
      <c r="N427" s="1511"/>
      <c r="O427" s="1507"/>
      <c r="P427" s="1507"/>
    </row>
    <row r="428" spans="3:16" ht="15" customHeight="1" x14ac:dyDescent="0.2">
      <c r="C428" s="160"/>
      <c r="D428" s="160"/>
      <c r="E428" s="160"/>
      <c r="F428" s="160"/>
      <c r="G428" s="160"/>
      <c r="H428" s="160"/>
      <c r="I428" s="160"/>
      <c r="J428" s="160"/>
      <c r="K428" s="160"/>
      <c r="L428" s="1507"/>
      <c r="M428" s="1507"/>
      <c r="N428" s="1511"/>
      <c r="O428" s="1507"/>
      <c r="P428" s="1507"/>
    </row>
    <row r="429" spans="3:16" ht="15" customHeight="1" x14ac:dyDescent="0.2">
      <c r="C429" s="160"/>
      <c r="D429" s="160"/>
      <c r="E429" s="160"/>
      <c r="F429" s="160"/>
      <c r="G429" s="160"/>
      <c r="H429" s="160"/>
      <c r="I429" s="160"/>
      <c r="J429" s="160"/>
      <c r="K429" s="160"/>
      <c r="L429" s="1507"/>
      <c r="M429" s="1507"/>
      <c r="N429" s="1511"/>
      <c r="O429" s="1507"/>
      <c r="P429" s="1507"/>
    </row>
    <row r="430" spans="3:16" ht="15" customHeight="1" x14ac:dyDescent="0.2">
      <c r="C430" s="160"/>
      <c r="D430" s="160"/>
      <c r="E430" s="160"/>
      <c r="F430" s="160"/>
      <c r="G430" s="160"/>
      <c r="H430" s="160"/>
      <c r="I430" s="160"/>
      <c r="J430" s="160"/>
      <c r="K430" s="160"/>
      <c r="L430" s="1507"/>
      <c r="M430" s="1507"/>
      <c r="N430" s="1511"/>
      <c r="O430" s="1507"/>
      <c r="P430" s="1507"/>
    </row>
    <row r="431" spans="3:16" ht="15" customHeight="1" x14ac:dyDescent="0.2">
      <c r="C431" s="160"/>
      <c r="D431" s="160"/>
      <c r="E431" s="160"/>
      <c r="F431" s="160"/>
      <c r="G431" s="160"/>
      <c r="H431" s="160"/>
      <c r="I431" s="160"/>
      <c r="J431" s="160"/>
      <c r="K431" s="160"/>
      <c r="L431" s="1507"/>
      <c r="M431" s="1507"/>
      <c r="N431" s="1511"/>
      <c r="O431" s="1507"/>
      <c r="P431" s="1507"/>
    </row>
    <row r="432" spans="3:16" ht="15" customHeight="1" x14ac:dyDescent="0.2">
      <c r="C432" s="160"/>
      <c r="D432" s="160"/>
      <c r="E432" s="160"/>
      <c r="F432" s="160"/>
      <c r="G432" s="160"/>
      <c r="H432" s="160"/>
      <c r="I432" s="160"/>
      <c r="J432" s="160"/>
      <c r="K432" s="160"/>
      <c r="L432" s="1507"/>
      <c r="M432" s="1507"/>
      <c r="N432" s="1511"/>
      <c r="O432" s="1507"/>
      <c r="P432" s="1507"/>
    </row>
    <row r="433" spans="3:16" ht="15" customHeight="1" x14ac:dyDescent="0.2">
      <c r="C433" s="160"/>
      <c r="D433" s="160"/>
      <c r="E433" s="160"/>
      <c r="F433" s="160"/>
      <c r="G433" s="160"/>
      <c r="H433" s="160"/>
      <c r="I433" s="160"/>
      <c r="J433" s="160"/>
      <c r="K433" s="160"/>
      <c r="L433" s="1507"/>
      <c r="M433" s="1507"/>
      <c r="N433" s="1511"/>
      <c r="O433" s="1507"/>
      <c r="P433" s="1507"/>
    </row>
    <row r="434" spans="3:16" ht="15" customHeight="1" x14ac:dyDescent="0.2">
      <c r="C434" s="160"/>
      <c r="D434" s="160"/>
      <c r="E434" s="160"/>
      <c r="F434" s="160"/>
      <c r="G434" s="160"/>
      <c r="H434" s="160"/>
      <c r="I434" s="160"/>
      <c r="J434" s="160"/>
      <c r="K434" s="160"/>
      <c r="L434" s="1507"/>
      <c r="M434" s="1507"/>
      <c r="N434" s="1511"/>
      <c r="O434" s="1507"/>
      <c r="P434" s="1507"/>
    </row>
    <row r="435" spans="3:16" ht="15" customHeight="1" x14ac:dyDescent="0.2">
      <c r="C435" s="160"/>
      <c r="D435" s="160"/>
      <c r="E435" s="160"/>
      <c r="F435" s="160"/>
      <c r="G435" s="160"/>
      <c r="H435" s="160"/>
      <c r="I435" s="160"/>
      <c r="J435" s="160"/>
      <c r="K435" s="160"/>
      <c r="L435" s="1507"/>
      <c r="M435" s="1507"/>
      <c r="N435" s="1511"/>
      <c r="O435" s="1507"/>
      <c r="P435" s="1507"/>
    </row>
    <row r="436" spans="3:16" ht="15" customHeight="1" x14ac:dyDescent="0.2">
      <c r="C436" s="160"/>
      <c r="D436" s="160"/>
      <c r="E436" s="160"/>
      <c r="F436" s="160"/>
      <c r="G436" s="160"/>
      <c r="H436" s="160"/>
      <c r="I436" s="160"/>
      <c r="J436" s="160"/>
      <c r="K436" s="160"/>
      <c r="L436" s="1507"/>
      <c r="M436" s="1507"/>
      <c r="N436" s="1511"/>
      <c r="O436" s="1507"/>
      <c r="P436" s="1507"/>
    </row>
    <row r="437" spans="3:16" ht="15" customHeight="1" x14ac:dyDescent="0.2">
      <c r="C437" s="160"/>
      <c r="D437" s="160"/>
      <c r="E437" s="160"/>
      <c r="F437" s="160"/>
      <c r="G437" s="160"/>
      <c r="H437" s="160"/>
      <c r="I437" s="160"/>
      <c r="J437" s="160"/>
      <c r="K437" s="160"/>
      <c r="L437" s="1507"/>
      <c r="M437" s="1507"/>
      <c r="N437" s="1511"/>
      <c r="O437" s="1507"/>
      <c r="P437" s="1507"/>
    </row>
    <row r="438" spans="3:16" ht="15" customHeight="1" x14ac:dyDescent="0.2">
      <c r="C438" s="160"/>
      <c r="D438" s="160"/>
      <c r="E438" s="160"/>
      <c r="F438" s="160"/>
      <c r="G438" s="160"/>
      <c r="H438" s="160"/>
      <c r="I438" s="160"/>
      <c r="J438" s="160"/>
      <c r="K438" s="160"/>
      <c r="L438" s="1507"/>
      <c r="M438" s="1507"/>
      <c r="N438" s="1511"/>
      <c r="O438" s="1507"/>
      <c r="P438" s="1507"/>
    </row>
    <row r="439" spans="3:16" ht="15" customHeight="1" x14ac:dyDescent="0.2">
      <c r="C439" s="160"/>
      <c r="D439" s="160"/>
      <c r="E439" s="160"/>
      <c r="F439" s="160"/>
      <c r="G439" s="160"/>
      <c r="H439" s="160"/>
      <c r="I439" s="160"/>
      <c r="J439" s="160"/>
      <c r="K439" s="160"/>
      <c r="L439" s="1507"/>
      <c r="M439" s="1507"/>
      <c r="N439" s="1511"/>
      <c r="O439" s="1507"/>
      <c r="P439" s="1507"/>
    </row>
    <row r="440" spans="3:16" ht="15" customHeight="1" x14ac:dyDescent="0.2">
      <c r="C440" s="160"/>
      <c r="D440" s="160"/>
      <c r="E440" s="160"/>
      <c r="F440" s="160"/>
      <c r="G440" s="160"/>
      <c r="H440" s="160"/>
      <c r="I440" s="160"/>
      <c r="J440" s="160"/>
      <c r="K440" s="160"/>
      <c r="L440" s="1507"/>
      <c r="M440" s="1507"/>
      <c r="N440" s="1511"/>
      <c r="O440" s="1507"/>
      <c r="P440" s="1507"/>
    </row>
    <row r="441" spans="3:16" ht="15" customHeight="1" x14ac:dyDescent="0.2">
      <c r="C441" s="160"/>
      <c r="D441" s="160"/>
      <c r="E441" s="160"/>
      <c r="F441" s="160"/>
      <c r="G441" s="160"/>
      <c r="H441" s="160"/>
      <c r="I441" s="160"/>
      <c r="J441" s="160"/>
      <c r="K441" s="160"/>
      <c r="L441" s="1507"/>
      <c r="M441" s="1507"/>
      <c r="N441" s="1511"/>
      <c r="O441" s="1507"/>
      <c r="P441" s="1507"/>
    </row>
    <row r="442" spans="3:16" ht="15" customHeight="1" x14ac:dyDescent="0.2">
      <c r="C442" s="160"/>
      <c r="D442" s="160"/>
      <c r="E442" s="160"/>
      <c r="F442" s="160"/>
      <c r="G442" s="160"/>
      <c r="H442" s="160"/>
      <c r="I442" s="160"/>
      <c r="J442" s="160"/>
      <c r="K442" s="160"/>
      <c r="L442" s="1507"/>
      <c r="M442" s="1507"/>
      <c r="N442" s="1511"/>
      <c r="O442" s="1507"/>
      <c r="P442" s="1507"/>
    </row>
    <row r="443" spans="3:16" ht="15" customHeight="1" x14ac:dyDescent="0.2">
      <c r="C443" s="160"/>
      <c r="D443" s="160"/>
      <c r="E443" s="160"/>
      <c r="F443" s="160"/>
      <c r="G443" s="160"/>
      <c r="H443" s="160"/>
      <c r="I443" s="160"/>
      <c r="J443" s="160"/>
      <c r="K443" s="160"/>
      <c r="L443" s="1507"/>
      <c r="M443" s="1507"/>
      <c r="N443" s="1511"/>
      <c r="O443" s="1507"/>
      <c r="P443" s="1507"/>
    </row>
    <row r="444" spans="3:16" ht="15" customHeight="1" x14ac:dyDescent="0.2">
      <c r="C444" s="160"/>
      <c r="D444" s="160"/>
      <c r="E444" s="160"/>
      <c r="F444" s="160"/>
      <c r="G444" s="160"/>
      <c r="H444" s="160"/>
      <c r="I444" s="160"/>
      <c r="J444" s="160"/>
      <c r="K444" s="160"/>
      <c r="L444" s="1507"/>
      <c r="M444" s="1507"/>
      <c r="N444" s="1511"/>
      <c r="O444" s="1507"/>
      <c r="P444" s="1507"/>
    </row>
    <row r="445" spans="3:16" ht="15" customHeight="1" x14ac:dyDescent="0.2">
      <c r="C445" s="160"/>
      <c r="D445" s="160"/>
      <c r="E445" s="160"/>
      <c r="F445" s="160"/>
      <c r="G445" s="160"/>
      <c r="H445" s="160"/>
      <c r="I445" s="160"/>
      <c r="J445" s="160"/>
      <c r="K445" s="160"/>
      <c r="L445" s="1507"/>
      <c r="M445" s="1507"/>
      <c r="N445" s="1511"/>
      <c r="O445" s="1507"/>
      <c r="P445" s="1507"/>
    </row>
    <row r="446" spans="3:16" ht="15" customHeight="1" x14ac:dyDescent="0.2">
      <c r="C446" s="160"/>
      <c r="D446" s="160"/>
      <c r="E446" s="160"/>
      <c r="F446" s="160"/>
      <c r="G446" s="160"/>
      <c r="H446" s="160"/>
      <c r="I446" s="160"/>
      <c r="J446" s="160"/>
      <c r="K446" s="160"/>
      <c r="L446" s="1507"/>
      <c r="M446" s="1507"/>
      <c r="N446" s="1511"/>
      <c r="O446" s="1507"/>
      <c r="P446" s="1507"/>
    </row>
    <row r="447" spans="3:16" ht="15" customHeight="1" x14ac:dyDescent="0.2">
      <c r="C447" s="160"/>
      <c r="D447" s="160"/>
      <c r="E447" s="160"/>
      <c r="F447" s="160"/>
      <c r="G447" s="160"/>
      <c r="H447" s="160"/>
      <c r="I447" s="160"/>
      <c r="J447" s="160"/>
      <c r="K447" s="160"/>
      <c r="L447" s="1507"/>
      <c r="M447" s="1507"/>
      <c r="N447" s="1511"/>
      <c r="O447" s="1507"/>
      <c r="P447" s="1507"/>
    </row>
    <row r="448" spans="3:16" ht="15" customHeight="1" x14ac:dyDescent="0.2">
      <c r="C448" s="160"/>
      <c r="D448" s="160"/>
      <c r="E448" s="160"/>
      <c r="F448" s="160"/>
      <c r="G448" s="160"/>
      <c r="H448" s="160"/>
      <c r="I448" s="160"/>
      <c r="J448" s="160"/>
      <c r="K448" s="160"/>
      <c r="L448" s="1507"/>
      <c r="M448" s="1507"/>
      <c r="N448" s="1511"/>
      <c r="O448" s="1507"/>
      <c r="P448" s="1507"/>
    </row>
    <row r="449" spans="3:16" ht="15" customHeight="1" x14ac:dyDescent="0.2">
      <c r="C449" s="160"/>
      <c r="D449" s="160"/>
      <c r="E449" s="160"/>
      <c r="F449" s="160"/>
      <c r="G449" s="160"/>
      <c r="H449" s="160"/>
      <c r="I449" s="160"/>
      <c r="J449" s="160"/>
      <c r="K449" s="160"/>
      <c r="L449" s="1507"/>
      <c r="M449" s="1507"/>
      <c r="N449" s="1511"/>
      <c r="O449" s="1507"/>
      <c r="P449" s="1507"/>
    </row>
    <row r="450" spans="3:16" ht="15" customHeight="1" x14ac:dyDescent="0.2">
      <c r="C450" s="160"/>
      <c r="D450" s="160"/>
      <c r="E450" s="160"/>
      <c r="F450" s="160"/>
      <c r="G450" s="160"/>
      <c r="H450" s="160"/>
      <c r="I450" s="160"/>
      <c r="J450" s="160"/>
      <c r="K450" s="160"/>
      <c r="L450" s="1507"/>
      <c r="M450" s="1507"/>
      <c r="N450" s="1511"/>
      <c r="O450" s="1507"/>
      <c r="P450" s="1507"/>
    </row>
    <row r="451" spans="3:16" ht="15" customHeight="1" x14ac:dyDescent="0.2">
      <c r="C451" s="160"/>
      <c r="D451" s="160"/>
      <c r="E451" s="160"/>
      <c r="F451" s="160"/>
      <c r="G451" s="160"/>
      <c r="H451" s="160"/>
      <c r="I451" s="160"/>
      <c r="J451" s="160"/>
      <c r="K451" s="160"/>
      <c r="L451" s="1507"/>
      <c r="M451" s="1507"/>
      <c r="N451" s="1511"/>
      <c r="O451" s="1507"/>
      <c r="P451" s="1507"/>
    </row>
    <row r="452" spans="3:16" ht="15" customHeight="1" x14ac:dyDescent="0.2">
      <c r="C452" s="160"/>
      <c r="D452" s="160"/>
      <c r="E452" s="160"/>
      <c r="F452" s="160"/>
      <c r="G452" s="160"/>
      <c r="H452" s="160"/>
      <c r="I452" s="160"/>
      <c r="J452" s="160"/>
      <c r="K452" s="160"/>
      <c r="L452" s="1507"/>
      <c r="M452" s="1507"/>
      <c r="N452" s="1511"/>
      <c r="O452" s="1507"/>
      <c r="P452" s="1507"/>
    </row>
    <row r="453" spans="3:16" ht="15" customHeight="1" x14ac:dyDescent="0.2">
      <c r="C453" s="160"/>
      <c r="D453" s="160"/>
      <c r="E453" s="160"/>
      <c r="F453" s="160"/>
      <c r="G453" s="160"/>
      <c r="H453" s="160"/>
      <c r="I453" s="160"/>
      <c r="J453" s="160"/>
      <c r="K453" s="160"/>
      <c r="L453" s="1507"/>
      <c r="M453" s="1507"/>
      <c r="N453" s="1511"/>
      <c r="O453" s="1507"/>
      <c r="P453" s="1507"/>
    </row>
    <row r="454" spans="3:16" ht="15" customHeight="1" x14ac:dyDescent="0.2">
      <c r="C454" s="160"/>
      <c r="D454" s="160"/>
      <c r="E454" s="160"/>
      <c r="F454" s="160"/>
      <c r="G454" s="160"/>
      <c r="H454" s="160"/>
      <c r="I454" s="160"/>
      <c r="J454" s="160"/>
      <c r="K454" s="160"/>
      <c r="L454" s="1507"/>
      <c r="M454" s="1507"/>
      <c r="N454" s="1511"/>
      <c r="O454" s="1507"/>
      <c r="P454" s="1507"/>
    </row>
    <row r="455" spans="3:16" ht="15" customHeight="1" x14ac:dyDescent="0.2">
      <c r="C455" s="160"/>
      <c r="D455" s="160"/>
      <c r="E455" s="160"/>
      <c r="F455" s="160"/>
      <c r="G455" s="160"/>
      <c r="H455" s="160"/>
      <c r="I455" s="160"/>
      <c r="J455" s="160"/>
      <c r="K455" s="160"/>
      <c r="L455" s="1507"/>
      <c r="M455" s="1507"/>
      <c r="N455" s="1511"/>
      <c r="O455" s="1507"/>
      <c r="P455" s="1507"/>
    </row>
    <row r="456" spans="3:16" ht="15" customHeight="1" x14ac:dyDescent="0.2">
      <c r="C456" s="160"/>
      <c r="D456" s="160"/>
      <c r="E456" s="160"/>
      <c r="F456" s="160"/>
      <c r="G456" s="160"/>
      <c r="H456" s="160"/>
      <c r="I456" s="160"/>
      <c r="J456" s="160"/>
      <c r="K456" s="160"/>
      <c r="L456" s="1507"/>
      <c r="M456" s="1507"/>
      <c r="N456" s="1511"/>
      <c r="O456" s="1507"/>
      <c r="P456" s="1507"/>
    </row>
    <row r="457" spans="3:16" ht="15" customHeight="1" x14ac:dyDescent="0.2">
      <c r="C457" s="160"/>
      <c r="D457" s="160"/>
      <c r="E457" s="160"/>
      <c r="F457" s="160"/>
      <c r="G457" s="160"/>
      <c r="H457" s="160"/>
      <c r="I457" s="160"/>
      <c r="J457" s="160"/>
      <c r="K457" s="160"/>
      <c r="L457" s="1507"/>
      <c r="M457" s="1507"/>
      <c r="N457" s="1511"/>
      <c r="O457" s="1507"/>
      <c r="P457" s="1507"/>
    </row>
    <row r="458" spans="3:16" ht="15" customHeight="1" x14ac:dyDescent="0.2">
      <c r="C458" s="160"/>
      <c r="D458" s="160"/>
      <c r="E458" s="160"/>
      <c r="F458" s="160"/>
      <c r="G458" s="160"/>
      <c r="H458" s="160"/>
      <c r="I458" s="160"/>
      <c r="J458" s="160"/>
      <c r="K458" s="160"/>
      <c r="L458" s="1507"/>
      <c r="M458" s="1507"/>
      <c r="N458" s="1511"/>
      <c r="O458" s="1507"/>
      <c r="P458" s="1507"/>
    </row>
    <row r="459" spans="3:16" ht="15" customHeight="1" x14ac:dyDescent="0.2">
      <c r="C459" s="160"/>
      <c r="D459" s="160"/>
      <c r="E459" s="160"/>
      <c r="F459" s="160"/>
      <c r="G459" s="160"/>
      <c r="H459" s="160"/>
      <c r="I459" s="160"/>
      <c r="J459" s="160"/>
      <c r="K459" s="160"/>
      <c r="L459" s="1507"/>
      <c r="M459" s="1507"/>
      <c r="N459" s="1511"/>
      <c r="O459" s="1507"/>
      <c r="P459" s="1507"/>
    </row>
    <row r="460" spans="3:16" ht="15" customHeight="1" x14ac:dyDescent="0.2">
      <c r="C460" s="160"/>
      <c r="D460" s="160"/>
      <c r="E460" s="160"/>
      <c r="F460" s="160"/>
      <c r="G460" s="160"/>
      <c r="H460" s="160"/>
      <c r="I460" s="160"/>
      <c r="J460" s="160"/>
      <c r="K460" s="160"/>
      <c r="L460" s="1507"/>
      <c r="M460" s="1507"/>
      <c r="N460" s="1511"/>
      <c r="O460" s="1507"/>
      <c r="P460" s="1507"/>
    </row>
    <row r="461" spans="3:16" ht="15" customHeight="1" x14ac:dyDescent="0.2">
      <c r="C461" s="160"/>
      <c r="D461" s="160"/>
      <c r="E461" s="160"/>
      <c r="F461" s="160"/>
      <c r="G461" s="160"/>
      <c r="H461" s="160"/>
      <c r="I461" s="160"/>
      <c r="J461" s="160"/>
      <c r="K461" s="160"/>
      <c r="L461" s="1507"/>
      <c r="M461" s="1507"/>
      <c r="N461" s="1511"/>
      <c r="O461" s="1507"/>
      <c r="P461" s="1507"/>
    </row>
    <row r="462" spans="3:16" ht="15" customHeight="1" x14ac:dyDescent="0.2">
      <c r="C462" s="160"/>
      <c r="D462" s="160"/>
      <c r="E462" s="160"/>
      <c r="F462" s="160"/>
      <c r="G462" s="160"/>
      <c r="H462" s="160"/>
      <c r="I462" s="160"/>
      <c r="J462" s="160"/>
      <c r="K462" s="160"/>
      <c r="L462" s="1507"/>
      <c r="M462" s="1507"/>
      <c r="N462" s="1511"/>
      <c r="O462" s="1507"/>
      <c r="P462" s="1507"/>
    </row>
    <row r="463" spans="3:16" ht="15" customHeight="1" x14ac:dyDescent="0.2">
      <c r="C463" s="160"/>
      <c r="D463" s="160"/>
      <c r="E463" s="160"/>
      <c r="F463" s="160"/>
      <c r="G463" s="160"/>
      <c r="H463" s="160"/>
      <c r="I463" s="160"/>
      <c r="J463" s="160"/>
      <c r="K463" s="160"/>
      <c r="L463" s="1507"/>
      <c r="M463" s="1507"/>
      <c r="N463" s="1511"/>
      <c r="O463" s="1507"/>
      <c r="P463" s="1507"/>
    </row>
    <row r="464" spans="3:16" ht="15" customHeight="1" x14ac:dyDescent="0.2">
      <c r="C464" s="160"/>
      <c r="D464" s="160"/>
      <c r="E464" s="160"/>
      <c r="F464" s="160"/>
      <c r="G464" s="160"/>
      <c r="H464" s="160"/>
      <c r="I464" s="160"/>
      <c r="J464" s="160"/>
      <c r="K464" s="160"/>
      <c r="L464" s="1507"/>
      <c r="M464" s="1507"/>
      <c r="N464" s="1511"/>
      <c r="O464" s="1507"/>
      <c r="P464" s="1507"/>
    </row>
    <row r="465" spans="3:16" x14ac:dyDescent="0.2">
      <c r="C465" s="160"/>
      <c r="D465" s="160"/>
      <c r="E465" s="160"/>
      <c r="F465" s="160"/>
      <c r="G465" s="160"/>
      <c r="H465" s="160"/>
      <c r="I465" s="160"/>
      <c r="J465" s="160"/>
      <c r="K465" s="160"/>
      <c r="L465" s="1507"/>
      <c r="M465" s="1507"/>
      <c r="N465" s="1511"/>
      <c r="O465" s="1507"/>
      <c r="P465" s="1507"/>
    </row>
    <row r="466" spans="3:16" x14ac:dyDescent="0.2">
      <c r="C466" s="160"/>
      <c r="D466" s="160"/>
      <c r="E466" s="160"/>
      <c r="F466" s="160"/>
      <c r="G466" s="160"/>
      <c r="H466" s="160"/>
      <c r="I466" s="160"/>
      <c r="J466" s="160"/>
      <c r="K466" s="160"/>
      <c r="L466" s="1507"/>
      <c r="M466" s="1507"/>
      <c r="N466" s="1511"/>
      <c r="O466" s="1507"/>
      <c r="P466" s="1507"/>
    </row>
    <row r="467" spans="3:16" x14ac:dyDescent="0.2">
      <c r="C467" s="160"/>
      <c r="D467" s="160"/>
      <c r="E467" s="160"/>
      <c r="F467" s="160"/>
      <c r="G467" s="160"/>
      <c r="H467" s="160"/>
      <c r="I467" s="160"/>
      <c r="J467" s="160"/>
      <c r="K467" s="160"/>
      <c r="L467" s="1507"/>
      <c r="M467" s="1507"/>
      <c r="N467" s="1511"/>
      <c r="O467" s="1507"/>
      <c r="P467" s="1507"/>
    </row>
    <row r="468" spans="3:16" x14ac:dyDescent="0.2">
      <c r="C468" s="160"/>
      <c r="D468" s="160"/>
      <c r="E468" s="160"/>
      <c r="F468" s="160"/>
      <c r="G468" s="160"/>
      <c r="H468" s="160"/>
      <c r="I468" s="160"/>
      <c r="J468" s="160"/>
      <c r="K468" s="160"/>
      <c r="L468" s="1507"/>
      <c r="M468" s="1507"/>
      <c r="N468" s="1511"/>
      <c r="O468" s="1507"/>
      <c r="P468" s="1507"/>
    </row>
    <row r="469" spans="3:16" x14ac:dyDescent="0.2">
      <c r="C469" s="160"/>
      <c r="D469" s="160"/>
      <c r="E469" s="160"/>
      <c r="F469" s="160"/>
      <c r="G469" s="160"/>
      <c r="H469" s="160"/>
      <c r="I469" s="160"/>
      <c r="J469" s="160"/>
      <c r="K469" s="160"/>
      <c r="L469" s="1507"/>
      <c r="M469" s="1507"/>
      <c r="N469" s="1511"/>
      <c r="O469" s="1507"/>
      <c r="P469" s="1507"/>
    </row>
    <row r="470" spans="3:16" x14ac:dyDescent="0.2">
      <c r="C470" s="160"/>
      <c r="D470" s="160"/>
      <c r="E470" s="160"/>
      <c r="F470" s="160"/>
      <c r="G470" s="160"/>
      <c r="H470" s="160"/>
      <c r="I470" s="160"/>
      <c r="J470" s="160"/>
      <c r="K470" s="160"/>
      <c r="L470" s="1507"/>
      <c r="M470" s="1507"/>
      <c r="N470" s="1511"/>
      <c r="O470" s="1507"/>
      <c r="P470" s="1507"/>
    </row>
    <row r="471" spans="3:16" x14ac:dyDescent="0.2">
      <c r="C471" s="160"/>
      <c r="D471" s="160"/>
      <c r="E471" s="160"/>
      <c r="F471" s="160"/>
      <c r="G471" s="160"/>
      <c r="H471" s="160"/>
      <c r="I471" s="160"/>
      <c r="J471" s="160"/>
      <c r="K471" s="160"/>
      <c r="L471" s="1507"/>
      <c r="M471" s="1507"/>
      <c r="N471" s="1511"/>
      <c r="O471" s="1507"/>
      <c r="P471" s="1507"/>
    </row>
    <row r="472" spans="3:16" x14ac:dyDescent="0.2">
      <c r="C472" s="160"/>
      <c r="D472" s="160"/>
      <c r="E472" s="160"/>
      <c r="F472" s="160"/>
      <c r="G472" s="160"/>
      <c r="H472" s="160"/>
      <c r="I472" s="160"/>
      <c r="J472" s="160"/>
      <c r="K472" s="160"/>
      <c r="L472" s="1507"/>
      <c r="M472" s="1507"/>
      <c r="N472" s="1511"/>
      <c r="O472" s="1507"/>
      <c r="P472" s="1507"/>
    </row>
    <row r="473" spans="3:16" x14ac:dyDescent="0.2">
      <c r="C473" s="160"/>
      <c r="D473" s="160"/>
      <c r="E473" s="160"/>
      <c r="F473" s="160"/>
      <c r="G473" s="160"/>
      <c r="H473" s="160"/>
      <c r="I473" s="160"/>
      <c r="J473" s="160"/>
      <c r="K473" s="160"/>
      <c r="L473" s="1507"/>
      <c r="M473" s="1507"/>
      <c r="N473" s="1511"/>
      <c r="O473" s="1507"/>
      <c r="P473" s="1507"/>
    </row>
    <row r="474" spans="3:16" x14ac:dyDescent="0.2">
      <c r="C474" s="160"/>
      <c r="D474" s="160"/>
      <c r="E474" s="160"/>
      <c r="F474" s="160"/>
      <c r="G474" s="160"/>
      <c r="H474" s="160"/>
      <c r="I474" s="160"/>
      <c r="J474" s="160"/>
      <c r="K474" s="160"/>
      <c r="L474" s="1507"/>
      <c r="M474" s="1507"/>
      <c r="N474" s="1511"/>
      <c r="O474" s="1507"/>
      <c r="P474" s="1507"/>
    </row>
    <row r="475" spans="3:16" x14ac:dyDescent="0.2">
      <c r="C475" s="160"/>
      <c r="D475" s="160"/>
      <c r="E475" s="160"/>
      <c r="F475" s="160"/>
      <c r="G475" s="160"/>
      <c r="H475" s="160"/>
      <c r="I475" s="160"/>
      <c r="J475" s="160"/>
      <c r="K475" s="160"/>
      <c r="L475" s="1507"/>
      <c r="M475" s="1507"/>
      <c r="N475" s="1511"/>
      <c r="O475" s="1507"/>
      <c r="P475" s="1507"/>
    </row>
    <row r="476" spans="3:16" x14ac:dyDescent="0.2">
      <c r="C476" s="160"/>
      <c r="D476" s="160"/>
      <c r="E476" s="160"/>
      <c r="F476" s="160"/>
      <c r="G476" s="160"/>
      <c r="H476" s="160"/>
      <c r="I476" s="160"/>
      <c r="J476" s="160"/>
      <c r="K476" s="160"/>
      <c r="L476" s="1507"/>
      <c r="M476" s="1507"/>
      <c r="N476" s="1511"/>
      <c r="O476" s="1507"/>
      <c r="P476" s="1507"/>
    </row>
    <row r="477" spans="3:16" x14ac:dyDescent="0.2">
      <c r="C477" s="160"/>
      <c r="D477" s="160"/>
      <c r="E477" s="160"/>
      <c r="F477" s="160"/>
      <c r="G477" s="160"/>
      <c r="H477" s="160"/>
      <c r="I477" s="160"/>
      <c r="J477" s="160"/>
      <c r="K477" s="160"/>
      <c r="L477" s="160"/>
      <c r="M477" s="1510"/>
      <c r="N477" s="1511"/>
      <c r="O477" s="1507"/>
      <c r="P477" s="1507"/>
    </row>
    <row r="478" spans="3:16" x14ac:dyDescent="0.2"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510"/>
      <c r="N478" s="1511"/>
      <c r="O478" s="1507"/>
      <c r="P478" s="1507"/>
    </row>
    <row r="479" spans="3:16" x14ac:dyDescent="0.2"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510"/>
      <c r="N479" s="1511"/>
      <c r="O479" s="1507"/>
      <c r="P479" s="1507"/>
    </row>
    <row r="480" spans="3:16" x14ac:dyDescent="0.2"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510"/>
      <c r="N480" s="1511"/>
      <c r="O480" s="1507"/>
      <c r="P480" s="1507"/>
    </row>
    <row r="481" spans="3:16" x14ac:dyDescent="0.2"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510"/>
      <c r="N481" s="1511"/>
      <c r="O481" s="1507"/>
      <c r="P481" s="1507"/>
    </row>
    <row r="482" spans="3:16" x14ac:dyDescent="0.2"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510"/>
      <c r="N482" s="1511"/>
      <c r="O482" s="1507"/>
      <c r="P482" s="1507"/>
    </row>
    <row r="483" spans="3:16" x14ac:dyDescent="0.2"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510"/>
      <c r="N483" s="1511"/>
      <c r="O483" s="1507"/>
      <c r="P483" s="1507"/>
    </row>
    <row r="484" spans="3:16" x14ac:dyDescent="0.2"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510"/>
      <c r="N484" s="1511"/>
      <c r="O484" s="1507"/>
      <c r="P484" s="1507"/>
    </row>
    <row r="485" spans="3:16" x14ac:dyDescent="0.2"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510"/>
      <c r="N485" s="1511"/>
      <c r="O485" s="1507"/>
      <c r="P485" s="1507"/>
    </row>
    <row r="486" spans="3:16" x14ac:dyDescent="0.2"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510"/>
      <c r="N486" s="1511"/>
      <c r="O486" s="1507"/>
      <c r="P486" s="1507"/>
    </row>
    <row r="487" spans="3:16" x14ac:dyDescent="0.2"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510"/>
      <c r="N487" s="1511"/>
      <c r="O487" s="1507"/>
      <c r="P487" s="1507"/>
    </row>
    <row r="488" spans="3:16" x14ac:dyDescent="0.2"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510"/>
      <c r="N488" s="1511"/>
      <c r="O488" s="1507"/>
      <c r="P488" s="1507"/>
    </row>
    <row r="489" spans="3:16" x14ac:dyDescent="0.2"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510"/>
      <c r="N489" s="1511"/>
      <c r="O489" s="1507"/>
      <c r="P489" s="1507"/>
    </row>
    <row r="490" spans="3:16" x14ac:dyDescent="0.2"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510"/>
      <c r="N490" s="1511"/>
      <c r="O490" s="1507"/>
      <c r="P490" s="1507"/>
    </row>
    <row r="491" spans="3:16" x14ac:dyDescent="0.2"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510"/>
      <c r="N491" s="1511"/>
      <c r="O491" s="1507"/>
      <c r="P491" s="1507"/>
    </row>
    <row r="492" spans="3:16" x14ac:dyDescent="0.2"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510"/>
      <c r="N492" s="1511"/>
      <c r="O492" s="1507"/>
      <c r="P492" s="1507"/>
    </row>
    <row r="493" spans="3:16" x14ac:dyDescent="0.2"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510"/>
      <c r="N493" s="1511"/>
      <c r="O493" s="1507"/>
      <c r="P493" s="1507"/>
    </row>
    <row r="494" spans="3:16" x14ac:dyDescent="0.2"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510"/>
      <c r="N494" s="1511"/>
      <c r="O494" s="1507"/>
      <c r="P494" s="1507"/>
    </row>
    <row r="495" spans="3:16" x14ac:dyDescent="0.2"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510"/>
      <c r="N495" s="1511"/>
      <c r="O495" s="1507"/>
      <c r="P495" s="1507"/>
    </row>
    <row r="496" spans="3:16" x14ac:dyDescent="0.2"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510"/>
      <c r="N496" s="1511"/>
      <c r="O496" s="1507"/>
      <c r="P496" s="1507"/>
    </row>
    <row r="497" spans="3:16" x14ac:dyDescent="0.2"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510"/>
      <c r="N497" s="1511"/>
      <c r="O497" s="1507"/>
      <c r="P497" s="1507"/>
    </row>
    <row r="498" spans="3:16" x14ac:dyDescent="0.2"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510"/>
      <c r="N498" s="1511"/>
      <c r="O498" s="1507"/>
      <c r="P498" s="1507"/>
    </row>
    <row r="499" spans="3:16" x14ac:dyDescent="0.2"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510"/>
      <c r="N499" s="1511"/>
      <c r="O499" s="1507"/>
      <c r="P499" s="1507"/>
    </row>
    <row r="500" spans="3:16" x14ac:dyDescent="0.2"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510"/>
      <c r="N500" s="1511"/>
      <c r="O500" s="1507"/>
      <c r="P500" s="1507"/>
    </row>
    <row r="501" spans="3:16" x14ac:dyDescent="0.2"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510"/>
      <c r="N501" s="1511"/>
      <c r="O501" s="1507"/>
      <c r="P501" s="1507"/>
    </row>
    <row r="502" spans="3:16" x14ac:dyDescent="0.2">
      <c r="C502" s="160"/>
      <c r="D502" s="160"/>
      <c r="E502" s="160"/>
      <c r="F502" s="160"/>
      <c r="G502" s="160"/>
      <c r="H502" s="160"/>
      <c r="I502" s="160"/>
      <c r="J502" s="160"/>
      <c r="K502" s="160"/>
      <c r="L502" s="160"/>
      <c r="M502" s="1510"/>
      <c r="N502" s="1511"/>
      <c r="O502" s="1507"/>
      <c r="P502" s="1507"/>
    </row>
    <row r="503" spans="3:16" x14ac:dyDescent="0.2">
      <c r="C503" s="160"/>
      <c r="D503" s="160"/>
      <c r="E503" s="160"/>
      <c r="F503" s="160"/>
      <c r="G503" s="160"/>
      <c r="H503" s="160"/>
      <c r="I503" s="160"/>
      <c r="J503" s="160"/>
      <c r="K503" s="160"/>
      <c r="L503" s="160"/>
      <c r="M503" s="1510"/>
      <c r="N503" s="1511"/>
      <c r="O503" s="1507"/>
      <c r="P503" s="1507"/>
    </row>
    <row r="504" spans="3:16" x14ac:dyDescent="0.2"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510"/>
      <c r="N504" s="1511"/>
      <c r="O504" s="1507"/>
      <c r="P504" s="1507"/>
    </row>
    <row r="505" spans="3:16" x14ac:dyDescent="0.2"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510"/>
      <c r="N505" s="1511"/>
      <c r="O505" s="1507"/>
      <c r="P505" s="1507"/>
    </row>
    <row r="506" spans="3:16" x14ac:dyDescent="0.2"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  <c r="M506" s="1510"/>
      <c r="N506" s="1511"/>
      <c r="O506" s="1507"/>
      <c r="P506" s="1507"/>
    </row>
    <row r="507" spans="3:16" x14ac:dyDescent="0.2">
      <c r="C507" s="160"/>
      <c r="D507" s="160"/>
      <c r="E507" s="160"/>
      <c r="F507" s="160"/>
      <c r="G507" s="160"/>
      <c r="H507" s="160"/>
      <c r="I507" s="160"/>
      <c r="J507" s="160"/>
      <c r="K507" s="160"/>
      <c r="L507" s="160"/>
      <c r="M507" s="1510"/>
      <c r="N507" s="1511"/>
      <c r="O507" s="1507"/>
      <c r="P507" s="1507"/>
    </row>
    <row r="508" spans="3:16" x14ac:dyDescent="0.2"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510"/>
      <c r="N508" s="1511"/>
      <c r="O508" s="1507"/>
      <c r="P508" s="1507"/>
    </row>
    <row r="509" spans="3:16" x14ac:dyDescent="0.2">
      <c r="C509" s="160"/>
      <c r="D509" s="160"/>
      <c r="E509" s="160"/>
      <c r="F509" s="160"/>
      <c r="G509" s="160"/>
      <c r="H509" s="160"/>
      <c r="I509" s="160"/>
      <c r="J509" s="160"/>
      <c r="K509" s="160"/>
      <c r="L509" s="160"/>
      <c r="M509" s="1510"/>
      <c r="N509" s="1511"/>
      <c r="O509" s="1507"/>
      <c r="P509" s="1507"/>
    </row>
    <row r="510" spans="3:16" x14ac:dyDescent="0.2"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510"/>
      <c r="N510" s="1511"/>
      <c r="O510" s="1507"/>
      <c r="P510" s="1507"/>
    </row>
    <row r="511" spans="3:16" x14ac:dyDescent="0.2"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510"/>
      <c r="N511" s="1511"/>
      <c r="O511" s="1507"/>
      <c r="P511" s="1507"/>
    </row>
    <row r="512" spans="3:16" x14ac:dyDescent="0.2"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510"/>
      <c r="N512" s="1511"/>
      <c r="O512" s="1507"/>
      <c r="P512" s="1507"/>
    </row>
    <row r="513" spans="3:16" x14ac:dyDescent="0.2"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510"/>
      <c r="N513" s="1511"/>
      <c r="O513" s="1507"/>
      <c r="P513" s="1507"/>
    </row>
    <row r="514" spans="3:16" x14ac:dyDescent="0.2"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510"/>
      <c r="N514" s="1511"/>
      <c r="O514" s="1507"/>
      <c r="P514" s="1507"/>
    </row>
    <row r="515" spans="3:16" x14ac:dyDescent="0.2"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510"/>
      <c r="N515" s="1511"/>
      <c r="O515" s="1507"/>
      <c r="P515" s="1507"/>
    </row>
    <row r="516" spans="3:16" x14ac:dyDescent="0.2"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510"/>
      <c r="N516" s="1511"/>
      <c r="O516" s="1507"/>
      <c r="P516" s="1507"/>
    </row>
    <row r="517" spans="3:16" x14ac:dyDescent="0.2">
      <c r="C517" s="160"/>
      <c r="D517" s="160"/>
      <c r="E517" s="160"/>
      <c r="F517" s="160"/>
      <c r="G517" s="160"/>
      <c r="H517" s="160"/>
      <c r="I517" s="160"/>
      <c r="J517" s="160"/>
      <c r="K517" s="160"/>
      <c r="L517" s="160"/>
      <c r="M517" s="1510"/>
      <c r="N517" s="1511"/>
      <c r="O517" s="1507"/>
      <c r="P517" s="1507"/>
    </row>
    <row r="518" spans="3:16" x14ac:dyDescent="0.2">
      <c r="C518" s="160"/>
      <c r="D518" s="160"/>
      <c r="E518" s="160"/>
      <c r="F518" s="160"/>
      <c r="G518" s="160"/>
      <c r="H518" s="160"/>
      <c r="I518" s="160"/>
      <c r="J518" s="160"/>
      <c r="K518" s="160"/>
      <c r="L518" s="160"/>
      <c r="M518" s="1510"/>
      <c r="N518" s="1511"/>
      <c r="O518" s="1507"/>
      <c r="P518" s="1507"/>
    </row>
    <row r="519" spans="3:16" x14ac:dyDescent="0.2">
      <c r="C519" s="160"/>
      <c r="D519" s="160"/>
      <c r="E519" s="160"/>
      <c r="F519" s="160"/>
      <c r="G519" s="160"/>
      <c r="H519" s="160"/>
      <c r="I519" s="160"/>
      <c r="J519" s="160"/>
      <c r="K519" s="160"/>
      <c r="L519" s="160"/>
      <c r="M519" s="1510"/>
      <c r="N519" s="1511"/>
      <c r="O519" s="1507"/>
      <c r="P519" s="1507"/>
    </row>
    <row r="520" spans="3:16" x14ac:dyDescent="0.2"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510"/>
      <c r="N520" s="1511"/>
      <c r="O520" s="1507"/>
      <c r="P520" s="1507"/>
    </row>
    <row r="521" spans="3:16" x14ac:dyDescent="0.2"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510"/>
      <c r="N521" s="1511"/>
      <c r="O521" s="1507"/>
      <c r="P521" s="1507"/>
    </row>
    <row r="522" spans="3:16" x14ac:dyDescent="0.2"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510"/>
      <c r="N522" s="1511"/>
      <c r="O522" s="1507"/>
      <c r="P522" s="1507"/>
    </row>
    <row r="523" spans="3:16" x14ac:dyDescent="0.2"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510"/>
      <c r="N523" s="1511"/>
      <c r="O523" s="1507"/>
      <c r="P523" s="1507"/>
    </row>
    <row r="524" spans="3:16" x14ac:dyDescent="0.2"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510"/>
      <c r="N524" s="1511"/>
      <c r="O524" s="1507"/>
      <c r="P524" s="1507"/>
    </row>
    <row r="525" spans="3:16" x14ac:dyDescent="0.2"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510"/>
      <c r="N525" s="1511"/>
      <c r="O525" s="1507"/>
      <c r="P525" s="1507"/>
    </row>
    <row r="526" spans="3:16" x14ac:dyDescent="0.2"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510"/>
      <c r="N526" s="1511"/>
      <c r="O526" s="1507"/>
      <c r="P526" s="1507"/>
    </row>
    <row r="527" spans="3:16" x14ac:dyDescent="0.2"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510"/>
      <c r="N527" s="1511"/>
      <c r="O527" s="1507"/>
      <c r="P527" s="1507"/>
    </row>
    <row r="528" spans="3:16" x14ac:dyDescent="0.2"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510"/>
      <c r="N528" s="1511"/>
      <c r="O528" s="1507"/>
      <c r="P528" s="1507"/>
    </row>
    <row r="529" spans="3:16" x14ac:dyDescent="0.2"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510"/>
      <c r="N529" s="1511"/>
      <c r="O529" s="1507"/>
      <c r="P529" s="1507"/>
    </row>
    <row r="530" spans="3:16" x14ac:dyDescent="0.2"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  <c r="M530" s="1510"/>
      <c r="N530" s="1511"/>
      <c r="O530" s="1507"/>
      <c r="P530" s="1507"/>
    </row>
    <row r="531" spans="3:16" x14ac:dyDescent="0.2"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510"/>
      <c r="N531" s="1511"/>
      <c r="O531" s="1507"/>
      <c r="P531" s="1507"/>
    </row>
    <row r="532" spans="3:16" x14ac:dyDescent="0.2">
      <c r="C532" s="160"/>
      <c r="D532" s="160"/>
      <c r="E532" s="160"/>
      <c r="F532" s="160"/>
      <c r="G532" s="160"/>
      <c r="H532" s="160"/>
      <c r="I532" s="160"/>
      <c r="J532" s="160"/>
      <c r="K532" s="160"/>
      <c r="L532" s="160"/>
      <c r="M532" s="1510"/>
      <c r="N532" s="1511"/>
      <c r="O532" s="1507"/>
      <c r="P532" s="1507"/>
    </row>
    <row r="533" spans="3:16" x14ac:dyDescent="0.2"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510"/>
      <c r="N533" s="1511"/>
      <c r="O533" s="1507"/>
      <c r="P533" s="1507"/>
    </row>
    <row r="534" spans="3:16" x14ac:dyDescent="0.2"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510"/>
      <c r="N534" s="1511"/>
      <c r="O534" s="1507"/>
      <c r="P534" s="1507"/>
    </row>
    <row r="535" spans="3:16" x14ac:dyDescent="0.2">
      <c r="C535" s="160"/>
      <c r="D535" s="160"/>
      <c r="E535" s="160"/>
      <c r="F535" s="160"/>
      <c r="G535" s="160"/>
      <c r="H535" s="160"/>
      <c r="I535" s="160"/>
      <c r="J535" s="160"/>
      <c r="K535" s="160"/>
      <c r="L535" s="160"/>
      <c r="M535" s="1510"/>
      <c r="N535" s="1511"/>
      <c r="O535" s="1507"/>
      <c r="P535" s="1507"/>
    </row>
    <row r="536" spans="3:16" x14ac:dyDescent="0.2"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510"/>
      <c r="N536" s="1511"/>
      <c r="O536" s="1507"/>
      <c r="P536" s="1507"/>
    </row>
    <row r="537" spans="3:16" x14ac:dyDescent="0.2"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510"/>
      <c r="N537" s="1511"/>
      <c r="O537" s="1507"/>
      <c r="P537" s="1507"/>
    </row>
    <row r="538" spans="3:16" x14ac:dyDescent="0.2"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510"/>
      <c r="N538" s="1511"/>
      <c r="O538" s="1507"/>
      <c r="P538" s="1507"/>
    </row>
    <row r="539" spans="3:16" x14ac:dyDescent="0.2"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510"/>
      <c r="N539" s="1511"/>
      <c r="O539" s="1507"/>
      <c r="P539" s="1507"/>
    </row>
    <row r="540" spans="3:16" x14ac:dyDescent="0.2">
      <c r="C540" s="160"/>
      <c r="D540" s="160"/>
      <c r="E540" s="160"/>
      <c r="F540" s="160"/>
      <c r="G540" s="160"/>
      <c r="H540" s="160"/>
      <c r="I540" s="160"/>
      <c r="J540" s="160"/>
      <c r="K540" s="160"/>
      <c r="L540" s="160"/>
      <c r="M540" s="1510"/>
      <c r="N540" s="1511"/>
      <c r="O540" s="1507"/>
      <c r="P540" s="1507"/>
    </row>
    <row r="541" spans="3:16" x14ac:dyDescent="0.2">
      <c r="C541" s="160"/>
      <c r="D541" s="160"/>
      <c r="E541" s="160"/>
      <c r="F541" s="160"/>
      <c r="G541" s="160"/>
      <c r="H541" s="160"/>
      <c r="I541" s="160"/>
      <c r="J541" s="160"/>
      <c r="K541" s="160"/>
      <c r="L541" s="160"/>
      <c r="M541" s="1510"/>
      <c r="N541" s="1511"/>
      <c r="O541" s="1507"/>
      <c r="P541" s="1507"/>
    </row>
    <row r="542" spans="3:16" x14ac:dyDescent="0.2"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510"/>
      <c r="N542" s="1511"/>
      <c r="O542" s="1507"/>
      <c r="P542" s="1507"/>
    </row>
    <row r="543" spans="3:16" x14ac:dyDescent="0.2"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510"/>
      <c r="N543" s="1511"/>
      <c r="O543" s="1507"/>
      <c r="P543" s="1507"/>
    </row>
    <row r="544" spans="3:16" x14ac:dyDescent="0.2">
      <c r="C544" s="160"/>
      <c r="D544" s="160"/>
      <c r="E544" s="160"/>
      <c r="F544" s="160"/>
      <c r="G544" s="160"/>
      <c r="H544" s="160"/>
      <c r="I544" s="160"/>
      <c r="J544" s="160"/>
      <c r="K544" s="160"/>
      <c r="L544" s="160"/>
      <c r="M544" s="1510"/>
      <c r="N544" s="1511"/>
      <c r="O544" s="1507"/>
      <c r="P544" s="1507"/>
    </row>
    <row r="545" spans="3:16" x14ac:dyDescent="0.2"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510"/>
      <c r="N545" s="1511"/>
      <c r="O545" s="1507"/>
      <c r="P545" s="1507"/>
    </row>
    <row r="546" spans="3:16" x14ac:dyDescent="0.2"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510"/>
      <c r="N546" s="1511"/>
      <c r="O546" s="1507"/>
      <c r="P546" s="1507"/>
    </row>
    <row r="547" spans="3:16" x14ac:dyDescent="0.2"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510"/>
      <c r="N547" s="1511"/>
      <c r="O547" s="1507"/>
      <c r="P547" s="1507"/>
    </row>
    <row r="548" spans="3:16" x14ac:dyDescent="0.2"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510"/>
      <c r="N548" s="1511"/>
      <c r="O548" s="1507"/>
      <c r="P548" s="1507"/>
    </row>
    <row r="549" spans="3:16" x14ac:dyDescent="0.2"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510"/>
      <c r="N549" s="1511"/>
      <c r="O549" s="1507"/>
      <c r="P549" s="1507"/>
    </row>
    <row r="550" spans="3:16" x14ac:dyDescent="0.2"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510"/>
      <c r="N550" s="1511"/>
      <c r="O550" s="1507"/>
      <c r="P550" s="1507"/>
    </row>
    <row r="551" spans="3:16" x14ac:dyDescent="0.2">
      <c r="C551" s="160"/>
      <c r="D551" s="160"/>
      <c r="E551" s="160"/>
      <c r="F551" s="160"/>
      <c r="G551" s="160"/>
      <c r="H551" s="160"/>
      <c r="I551" s="160"/>
      <c r="J551" s="160"/>
      <c r="K551" s="160"/>
      <c r="L551" s="160"/>
      <c r="M551" s="1510"/>
      <c r="N551" s="1511"/>
      <c r="O551" s="1507"/>
      <c r="P551" s="1507"/>
    </row>
    <row r="552" spans="3:16" x14ac:dyDescent="0.2"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510"/>
      <c r="N552" s="1511"/>
      <c r="O552" s="1507"/>
      <c r="P552" s="1507"/>
    </row>
    <row r="553" spans="3:16" x14ac:dyDescent="0.2"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510"/>
      <c r="N553" s="1511"/>
      <c r="O553" s="1507"/>
      <c r="P553" s="1507"/>
    </row>
    <row r="554" spans="3:16" x14ac:dyDescent="0.2"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510"/>
      <c r="N554" s="1511"/>
      <c r="O554" s="1507"/>
      <c r="P554" s="1507"/>
    </row>
    <row r="555" spans="3:16" x14ac:dyDescent="0.2"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510"/>
      <c r="N555" s="1511"/>
      <c r="O555" s="1507"/>
      <c r="P555" s="1507"/>
    </row>
    <row r="556" spans="3:16" x14ac:dyDescent="0.2"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510"/>
      <c r="N556" s="1511"/>
      <c r="O556" s="1507"/>
      <c r="P556" s="1507"/>
    </row>
    <row r="557" spans="3:16" x14ac:dyDescent="0.2"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510"/>
      <c r="N557" s="1511"/>
      <c r="O557" s="1507"/>
      <c r="P557" s="1507"/>
    </row>
    <row r="558" spans="3:16" x14ac:dyDescent="0.2"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510"/>
      <c r="N558" s="1511"/>
      <c r="O558" s="1507"/>
      <c r="P558" s="1507"/>
    </row>
    <row r="559" spans="3:16" x14ac:dyDescent="0.2"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510"/>
      <c r="N559" s="1511"/>
      <c r="O559" s="1507"/>
      <c r="P559" s="1507"/>
    </row>
    <row r="560" spans="3:16" x14ac:dyDescent="0.2"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510"/>
      <c r="N560" s="1511"/>
      <c r="O560" s="1507"/>
      <c r="P560" s="1507"/>
    </row>
    <row r="561" spans="3:16" x14ac:dyDescent="0.2">
      <c r="C561" s="160"/>
      <c r="D561" s="160"/>
      <c r="E561" s="160"/>
      <c r="F561" s="160"/>
      <c r="G561" s="160"/>
      <c r="H561" s="160"/>
      <c r="I561" s="160"/>
      <c r="J561" s="160"/>
      <c r="K561" s="160"/>
      <c r="L561" s="160"/>
      <c r="M561" s="1510"/>
      <c r="N561" s="1511"/>
      <c r="O561" s="1507"/>
      <c r="P561" s="1507"/>
    </row>
    <row r="562" spans="3:16" x14ac:dyDescent="0.2"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510"/>
      <c r="N562" s="1511"/>
      <c r="O562" s="1507"/>
      <c r="P562" s="1507"/>
    </row>
    <row r="563" spans="3:16" x14ac:dyDescent="0.2"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510"/>
      <c r="N563" s="1511"/>
      <c r="O563" s="1507"/>
      <c r="P563" s="1507"/>
    </row>
    <row r="564" spans="3:16" x14ac:dyDescent="0.2"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510"/>
      <c r="N564" s="1511"/>
      <c r="O564" s="1507"/>
      <c r="P564" s="1507"/>
    </row>
    <row r="565" spans="3:16" x14ac:dyDescent="0.2">
      <c r="C565" s="160"/>
      <c r="D565" s="160"/>
      <c r="E565" s="160"/>
      <c r="F565" s="160"/>
      <c r="G565" s="160"/>
      <c r="H565" s="160"/>
      <c r="I565" s="160"/>
      <c r="J565" s="160"/>
      <c r="K565" s="160"/>
      <c r="L565" s="160"/>
      <c r="M565" s="1510"/>
      <c r="N565" s="1511"/>
      <c r="O565" s="1507"/>
      <c r="P565" s="1507"/>
    </row>
    <row r="566" spans="3:16" x14ac:dyDescent="0.2">
      <c r="C566" s="160"/>
      <c r="D566" s="160"/>
      <c r="E566" s="160"/>
      <c r="F566" s="160"/>
      <c r="G566" s="160"/>
      <c r="H566" s="160"/>
      <c r="I566" s="160"/>
      <c r="J566" s="160"/>
      <c r="K566" s="160"/>
      <c r="L566" s="160"/>
      <c r="M566" s="1510"/>
      <c r="N566" s="1511"/>
      <c r="O566" s="1507"/>
      <c r="P566" s="1507"/>
    </row>
    <row r="567" spans="3:16" x14ac:dyDescent="0.2">
      <c r="C567" s="160"/>
      <c r="D567" s="160"/>
      <c r="E567" s="160"/>
      <c r="F567" s="160"/>
      <c r="G567" s="160"/>
      <c r="H567" s="160"/>
      <c r="I567" s="160"/>
      <c r="J567" s="160"/>
      <c r="K567" s="160"/>
      <c r="L567" s="160"/>
      <c r="M567" s="1510"/>
      <c r="N567" s="1511"/>
      <c r="O567" s="1507"/>
      <c r="P567" s="1507"/>
    </row>
    <row r="568" spans="3:16" x14ac:dyDescent="0.2">
      <c r="C568" s="160"/>
      <c r="D568" s="160"/>
      <c r="E568" s="160"/>
      <c r="F568" s="160"/>
      <c r="G568" s="160"/>
      <c r="H568" s="160"/>
      <c r="I568" s="160"/>
      <c r="J568" s="160"/>
      <c r="K568" s="160"/>
      <c r="L568" s="160"/>
      <c r="M568" s="1510"/>
      <c r="N568" s="1511"/>
      <c r="O568" s="1507"/>
      <c r="P568" s="1507"/>
    </row>
    <row r="569" spans="3:16" x14ac:dyDescent="0.2"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510"/>
      <c r="N569" s="1511"/>
      <c r="O569" s="1507"/>
      <c r="P569" s="1507"/>
    </row>
    <row r="570" spans="3:16" x14ac:dyDescent="0.2"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510"/>
      <c r="N570" s="1511"/>
      <c r="O570" s="1507"/>
      <c r="P570" s="1507"/>
    </row>
    <row r="571" spans="3:16" x14ac:dyDescent="0.2">
      <c r="C571" s="160"/>
      <c r="D571" s="160"/>
      <c r="E571" s="160"/>
      <c r="F571" s="160"/>
      <c r="G571" s="160"/>
      <c r="H571" s="160"/>
      <c r="I571" s="160"/>
      <c r="J571" s="160"/>
      <c r="K571" s="160"/>
      <c r="L571" s="160"/>
      <c r="M571" s="1510"/>
      <c r="N571" s="1511"/>
      <c r="O571" s="1507"/>
      <c r="P571" s="1507"/>
    </row>
    <row r="572" spans="3:16" x14ac:dyDescent="0.2">
      <c r="C572" s="160"/>
      <c r="D572" s="160"/>
      <c r="E572" s="160"/>
      <c r="F572" s="160"/>
      <c r="G572" s="160"/>
      <c r="H572" s="160"/>
      <c r="I572" s="160"/>
      <c r="J572" s="160"/>
      <c r="K572" s="160"/>
      <c r="L572" s="160"/>
      <c r="M572" s="1510"/>
      <c r="N572" s="1511"/>
      <c r="O572" s="1507"/>
      <c r="P572" s="1507"/>
    </row>
    <row r="573" spans="3:16" x14ac:dyDescent="0.2">
      <c r="C573" s="160"/>
      <c r="D573" s="160"/>
      <c r="E573" s="160"/>
      <c r="F573" s="160"/>
      <c r="G573" s="160"/>
      <c r="H573" s="160"/>
      <c r="I573" s="160"/>
      <c r="J573" s="160"/>
      <c r="K573" s="160"/>
      <c r="L573" s="160"/>
      <c r="M573" s="1510"/>
      <c r="N573" s="1511"/>
      <c r="O573" s="1507"/>
      <c r="P573" s="1507"/>
    </row>
    <row r="574" spans="3:16" x14ac:dyDescent="0.2"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510"/>
      <c r="N574" s="1511"/>
      <c r="O574" s="1507"/>
      <c r="P574" s="1507"/>
    </row>
    <row r="575" spans="3:16" x14ac:dyDescent="0.2"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510"/>
      <c r="N575" s="1511"/>
      <c r="O575" s="1507"/>
      <c r="P575" s="1507"/>
    </row>
    <row r="576" spans="3:16" x14ac:dyDescent="0.2"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510"/>
      <c r="N576" s="1511"/>
      <c r="O576" s="1507"/>
      <c r="P576" s="1507"/>
    </row>
    <row r="577" spans="3:16" x14ac:dyDescent="0.2">
      <c r="C577" s="160"/>
      <c r="D577" s="160"/>
      <c r="E577" s="160"/>
      <c r="F577" s="160"/>
      <c r="G577" s="160"/>
      <c r="H577" s="160"/>
      <c r="I577" s="160"/>
      <c r="J577" s="160"/>
      <c r="K577" s="160"/>
      <c r="L577" s="160"/>
      <c r="M577" s="1510"/>
      <c r="N577" s="1511"/>
      <c r="O577" s="1507"/>
      <c r="P577" s="1507"/>
    </row>
    <row r="578" spans="3:16" x14ac:dyDescent="0.2"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510"/>
      <c r="N578" s="1511"/>
      <c r="O578" s="1507"/>
      <c r="P578" s="1507"/>
    </row>
    <row r="579" spans="3:16" x14ac:dyDescent="0.2">
      <c r="C579" s="160"/>
      <c r="D579" s="160"/>
      <c r="E579" s="160"/>
      <c r="F579" s="160"/>
      <c r="G579" s="160"/>
      <c r="H579" s="160"/>
      <c r="I579" s="160"/>
      <c r="J579" s="160"/>
      <c r="K579" s="160"/>
      <c r="L579" s="160"/>
      <c r="M579" s="1510"/>
      <c r="N579" s="1511"/>
      <c r="O579" s="1507"/>
      <c r="P579" s="1507"/>
    </row>
    <row r="580" spans="3:16" x14ac:dyDescent="0.2"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510"/>
      <c r="N580" s="1511"/>
      <c r="O580" s="1507"/>
      <c r="P580" s="1507"/>
    </row>
    <row r="581" spans="3:16" x14ac:dyDescent="0.2"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510"/>
      <c r="N581" s="1511"/>
      <c r="O581" s="1507"/>
      <c r="P581" s="1507"/>
    </row>
    <row r="582" spans="3:16" x14ac:dyDescent="0.2"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510"/>
      <c r="N582" s="1511"/>
      <c r="O582" s="1507"/>
      <c r="P582" s="1507"/>
    </row>
    <row r="583" spans="3:16" x14ac:dyDescent="0.2"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510"/>
      <c r="N583" s="1511"/>
      <c r="O583" s="1507"/>
      <c r="P583" s="1507"/>
    </row>
    <row r="584" spans="3:16" x14ac:dyDescent="0.2">
      <c r="C584" s="160"/>
      <c r="D584" s="160"/>
      <c r="E584" s="160"/>
      <c r="F584" s="160"/>
      <c r="G584" s="160"/>
      <c r="H584" s="160"/>
      <c r="I584" s="160"/>
      <c r="J584" s="160"/>
      <c r="K584" s="160"/>
      <c r="L584" s="160"/>
      <c r="M584" s="1510"/>
      <c r="N584" s="1511"/>
      <c r="O584" s="1507"/>
      <c r="P584" s="1507"/>
    </row>
    <row r="585" spans="3:16" x14ac:dyDescent="0.2">
      <c r="C585" s="160"/>
      <c r="D585" s="160"/>
      <c r="E585" s="160"/>
      <c r="F585" s="160"/>
      <c r="G585" s="160"/>
      <c r="H585" s="160"/>
      <c r="I585" s="160"/>
      <c r="J585" s="160"/>
      <c r="K585" s="160"/>
      <c r="L585" s="160"/>
      <c r="M585" s="1510"/>
      <c r="N585" s="1511"/>
      <c r="O585" s="1507"/>
      <c r="P585" s="1507"/>
    </row>
    <row r="586" spans="3:16" x14ac:dyDescent="0.2"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510"/>
      <c r="N586" s="1511"/>
      <c r="O586" s="1507"/>
      <c r="P586" s="1507"/>
    </row>
    <row r="587" spans="3:16" x14ac:dyDescent="0.2"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510"/>
      <c r="N587" s="1511"/>
      <c r="O587" s="1507"/>
      <c r="P587" s="1507"/>
    </row>
    <row r="588" spans="3:16" x14ac:dyDescent="0.2"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510"/>
      <c r="N588" s="1511"/>
      <c r="O588" s="1507"/>
      <c r="P588" s="1507"/>
    </row>
    <row r="589" spans="3:16" x14ac:dyDescent="0.2"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510"/>
      <c r="N589" s="1511"/>
      <c r="O589" s="1507"/>
      <c r="P589" s="1507"/>
    </row>
    <row r="590" spans="3:16" x14ac:dyDescent="0.2"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510"/>
      <c r="N590" s="1511"/>
      <c r="O590" s="1507"/>
      <c r="P590" s="1507"/>
    </row>
    <row r="591" spans="3:16" x14ac:dyDescent="0.2"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510"/>
      <c r="N591" s="1511"/>
      <c r="O591" s="1507"/>
      <c r="P591" s="1507"/>
    </row>
    <row r="592" spans="3:16" x14ac:dyDescent="0.2"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510"/>
      <c r="N592" s="1511"/>
      <c r="O592" s="1507"/>
      <c r="P592" s="1507"/>
    </row>
    <row r="593" spans="3:16" x14ac:dyDescent="0.2"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510"/>
      <c r="N593" s="1511"/>
      <c r="O593" s="1507"/>
      <c r="P593" s="1507"/>
    </row>
    <row r="594" spans="3:16" x14ac:dyDescent="0.2">
      <c r="C594" s="160"/>
      <c r="D594" s="160"/>
      <c r="E594" s="160"/>
      <c r="F594" s="160"/>
      <c r="G594" s="160"/>
      <c r="H594" s="160"/>
      <c r="I594" s="160"/>
      <c r="J594" s="160"/>
      <c r="K594" s="160"/>
      <c r="L594" s="160"/>
      <c r="M594" s="1510"/>
      <c r="N594" s="1511"/>
      <c r="O594" s="1507"/>
      <c r="P594" s="1507"/>
    </row>
    <row r="595" spans="3:16" x14ac:dyDescent="0.2">
      <c r="C595" s="160"/>
      <c r="D595" s="160"/>
      <c r="E595" s="160"/>
      <c r="F595" s="160"/>
      <c r="G595" s="160"/>
      <c r="H595" s="160"/>
      <c r="I595" s="160"/>
      <c r="J595" s="160"/>
      <c r="K595" s="160"/>
      <c r="L595" s="160"/>
      <c r="M595" s="1510"/>
      <c r="N595" s="1511"/>
      <c r="O595" s="1507"/>
      <c r="P595" s="1507"/>
    </row>
    <row r="596" spans="3:16" x14ac:dyDescent="0.2"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510"/>
      <c r="N596" s="1511"/>
      <c r="O596" s="1507"/>
      <c r="P596" s="1507"/>
    </row>
    <row r="597" spans="3:16" x14ac:dyDescent="0.2"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510"/>
      <c r="N597" s="1511"/>
      <c r="O597" s="1507"/>
      <c r="P597" s="1507"/>
    </row>
    <row r="598" spans="3:16" x14ac:dyDescent="0.2"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510"/>
      <c r="N598" s="1511"/>
      <c r="O598" s="1507"/>
      <c r="P598" s="1507"/>
    </row>
    <row r="599" spans="3:16" x14ac:dyDescent="0.2"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510"/>
      <c r="N599" s="1511"/>
      <c r="O599" s="1507"/>
      <c r="P599" s="1507"/>
    </row>
    <row r="600" spans="3:16" x14ac:dyDescent="0.2">
      <c r="C600" s="160"/>
      <c r="D600" s="160"/>
      <c r="E600" s="160"/>
      <c r="F600" s="160"/>
      <c r="G600" s="160"/>
      <c r="H600" s="160"/>
      <c r="I600" s="160"/>
      <c r="J600" s="160"/>
      <c r="K600" s="160"/>
      <c r="L600" s="160"/>
      <c r="M600" s="1510"/>
      <c r="N600" s="1511"/>
      <c r="O600" s="1507"/>
      <c r="P600" s="1507"/>
    </row>
    <row r="601" spans="3:16" x14ac:dyDescent="0.2">
      <c r="C601" s="160"/>
      <c r="D601" s="160"/>
      <c r="E601" s="160"/>
      <c r="F601" s="160"/>
      <c r="G601" s="160"/>
      <c r="H601" s="160"/>
      <c r="I601" s="160"/>
      <c r="J601" s="160"/>
      <c r="K601" s="160"/>
      <c r="L601" s="160"/>
      <c r="M601" s="1510"/>
      <c r="N601" s="1511"/>
      <c r="O601" s="1507"/>
      <c r="P601" s="1507"/>
    </row>
    <row r="602" spans="3:16" x14ac:dyDescent="0.2">
      <c r="C602" s="160"/>
      <c r="D602" s="160"/>
      <c r="E602" s="160"/>
      <c r="F602" s="160"/>
      <c r="G602" s="160"/>
      <c r="H602" s="160"/>
      <c r="I602" s="160"/>
      <c r="J602" s="160"/>
      <c r="K602" s="160"/>
      <c r="L602" s="160"/>
      <c r="M602" s="1510"/>
      <c r="N602" s="1511"/>
      <c r="O602" s="1507"/>
      <c r="P602" s="1507"/>
    </row>
    <row r="603" spans="3:16" x14ac:dyDescent="0.2"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510"/>
      <c r="N603" s="1511"/>
      <c r="O603" s="1507"/>
      <c r="P603" s="1507"/>
    </row>
    <row r="604" spans="3:16" x14ac:dyDescent="0.2">
      <c r="C604" s="160"/>
      <c r="D604" s="160"/>
      <c r="E604" s="160"/>
      <c r="F604" s="160"/>
      <c r="G604" s="160"/>
      <c r="H604" s="160"/>
      <c r="I604" s="160"/>
      <c r="J604" s="160"/>
      <c r="K604" s="160"/>
      <c r="L604" s="160"/>
      <c r="M604" s="1510"/>
      <c r="N604" s="1511"/>
      <c r="O604" s="1507"/>
      <c r="P604" s="1507"/>
    </row>
    <row r="605" spans="3:16" x14ac:dyDescent="0.2">
      <c r="C605" s="160"/>
      <c r="D605" s="160"/>
      <c r="E605" s="160"/>
      <c r="F605" s="160"/>
      <c r="G605" s="160"/>
      <c r="H605" s="160"/>
      <c r="I605" s="160"/>
      <c r="J605" s="160"/>
      <c r="K605" s="160"/>
      <c r="L605" s="160"/>
      <c r="M605" s="1510"/>
      <c r="N605" s="1511"/>
      <c r="O605" s="1507"/>
      <c r="P605" s="1507"/>
    </row>
    <row r="606" spans="3:16" x14ac:dyDescent="0.2"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510"/>
      <c r="N606" s="1511"/>
      <c r="O606" s="1507"/>
      <c r="P606" s="1507"/>
    </row>
    <row r="607" spans="3:16" x14ac:dyDescent="0.2">
      <c r="C607" s="160"/>
      <c r="D607" s="160"/>
      <c r="E607" s="160"/>
      <c r="F607" s="160"/>
      <c r="G607" s="160"/>
      <c r="H607" s="160"/>
      <c r="I607" s="160"/>
      <c r="J607" s="160"/>
      <c r="K607" s="160"/>
      <c r="L607" s="160"/>
      <c r="M607" s="1510"/>
      <c r="N607" s="1511"/>
      <c r="O607" s="1507"/>
      <c r="P607" s="1507"/>
    </row>
    <row r="608" spans="3:16" x14ac:dyDescent="0.2">
      <c r="C608" s="160"/>
      <c r="D608" s="160"/>
      <c r="E608" s="160"/>
      <c r="F608" s="160"/>
      <c r="G608" s="160"/>
      <c r="H608" s="160"/>
      <c r="I608" s="160"/>
      <c r="J608" s="160"/>
      <c r="K608" s="160"/>
      <c r="L608" s="160"/>
      <c r="M608" s="1510"/>
      <c r="N608" s="1511"/>
      <c r="O608" s="1507"/>
      <c r="P608" s="1507"/>
    </row>
    <row r="609" spans="3:16" x14ac:dyDescent="0.2">
      <c r="C609" s="160"/>
      <c r="D609" s="160"/>
      <c r="E609" s="160"/>
      <c r="F609" s="160"/>
      <c r="G609" s="160"/>
      <c r="H609" s="160"/>
      <c r="I609" s="160"/>
      <c r="J609" s="160"/>
      <c r="K609" s="160"/>
      <c r="L609" s="160"/>
      <c r="M609" s="1510"/>
      <c r="N609" s="1511"/>
      <c r="O609" s="1507"/>
      <c r="P609" s="1507"/>
    </row>
    <row r="610" spans="3:16" x14ac:dyDescent="0.2">
      <c r="C610" s="160"/>
      <c r="D610" s="160"/>
      <c r="E610" s="160"/>
      <c r="F610" s="160"/>
      <c r="G610" s="160"/>
      <c r="H610" s="160"/>
      <c r="I610" s="160"/>
      <c r="J610" s="160"/>
      <c r="K610" s="160"/>
      <c r="L610" s="160"/>
      <c r="M610" s="1510"/>
      <c r="N610" s="1511"/>
      <c r="O610" s="1507"/>
      <c r="P610" s="1507"/>
    </row>
    <row r="611" spans="3:16" x14ac:dyDescent="0.2">
      <c r="C611" s="160"/>
      <c r="D611" s="160"/>
      <c r="E611" s="160"/>
      <c r="F611" s="160"/>
      <c r="G611" s="160"/>
      <c r="H611" s="160"/>
      <c r="I611" s="160"/>
      <c r="J611" s="160"/>
      <c r="K611" s="160"/>
      <c r="L611" s="160"/>
      <c r="M611" s="1510"/>
      <c r="N611" s="1511"/>
      <c r="O611" s="1507"/>
      <c r="P611" s="1507"/>
    </row>
    <row r="612" spans="3:16" x14ac:dyDescent="0.2">
      <c r="C612" s="160"/>
      <c r="D612" s="160"/>
      <c r="E612" s="160"/>
      <c r="F612" s="160"/>
      <c r="G612" s="160"/>
      <c r="H612" s="160"/>
      <c r="I612" s="160"/>
      <c r="J612" s="160"/>
      <c r="K612" s="160"/>
      <c r="L612" s="160"/>
      <c r="M612" s="1510"/>
      <c r="N612" s="1511"/>
      <c r="O612" s="1507"/>
      <c r="P612" s="1507"/>
    </row>
    <row r="613" spans="3:16" x14ac:dyDescent="0.2"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510"/>
      <c r="N613" s="1511"/>
      <c r="O613" s="1507"/>
      <c r="P613" s="1507"/>
    </row>
    <row r="614" spans="3:16" x14ac:dyDescent="0.2"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510"/>
      <c r="N614" s="1511"/>
      <c r="O614" s="1507"/>
      <c r="P614" s="1507"/>
    </row>
    <row r="615" spans="3:16" x14ac:dyDescent="0.2"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510"/>
      <c r="N615" s="1511"/>
      <c r="O615" s="1507"/>
      <c r="P615" s="1507"/>
    </row>
    <row r="616" spans="3:16" x14ac:dyDescent="0.2"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510"/>
      <c r="N616" s="1511"/>
      <c r="O616" s="1507"/>
      <c r="P616" s="1507"/>
    </row>
    <row r="617" spans="3:16" x14ac:dyDescent="0.2"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510"/>
      <c r="N617" s="1511"/>
      <c r="O617" s="1507"/>
      <c r="P617" s="1507"/>
    </row>
    <row r="618" spans="3:16" x14ac:dyDescent="0.2"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510"/>
      <c r="N618" s="1511"/>
      <c r="O618" s="1507"/>
      <c r="P618" s="1507"/>
    </row>
    <row r="619" spans="3:16" x14ac:dyDescent="0.2"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510"/>
      <c r="N619" s="1511"/>
      <c r="O619" s="1507"/>
      <c r="P619" s="1507"/>
    </row>
    <row r="620" spans="3:16" x14ac:dyDescent="0.2"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510"/>
      <c r="N620" s="1511"/>
      <c r="O620" s="1507"/>
      <c r="P620" s="1507"/>
    </row>
    <row r="621" spans="3:16" x14ac:dyDescent="0.2"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510"/>
      <c r="N621" s="1511"/>
      <c r="O621" s="1507"/>
      <c r="P621" s="1507"/>
    </row>
    <row r="622" spans="3:16" x14ac:dyDescent="0.2"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510"/>
      <c r="N622" s="1511"/>
      <c r="O622" s="1507"/>
      <c r="P622" s="1507"/>
    </row>
    <row r="623" spans="3:16" x14ac:dyDescent="0.2"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510"/>
      <c r="N623" s="1511"/>
      <c r="O623" s="1507"/>
      <c r="P623" s="1507"/>
    </row>
    <row r="624" spans="3:16" x14ac:dyDescent="0.2"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510"/>
      <c r="N624" s="1511"/>
      <c r="O624" s="1507"/>
      <c r="P624" s="1507"/>
    </row>
    <row r="625" spans="3:16" x14ac:dyDescent="0.2"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510"/>
      <c r="N625" s="1511"/>
      <c r="O625" s="1507"/>
      <c r="P625" s="1507"/>
    </row>
    <row r="626" spans="3:16" x14ac:dyDescent="0.2"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510"/>
      <c r="N626" s="1511"/>
      <c r="O626" s="1507"/>
      <c r="P626" s="1507"/>
    </row>
    <row r="627" spans="3:16" x14ac:dyDescent="0.2"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510"/>
      <c r="N627" s="1511"/>
      <c r="O627" s="1507"/>
      <c r="P627" s="1507"/>
    </row>
    <row r="628" spans="3:16" x14ac:dyDescent="0.2"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510"/>
      <c r="N628" s="1511"/>
      <c r="O628" s="1507"/>
      <c r="P628" s="1507"/>
    </row>
    <row r="629" spans="3:16" x14ac:dyDescent="0.2"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510"/>
      <c r="N629" s="1511"/>
      <c r="O629" s="1507"/>
      <c r="P629" s="1507"/>
    </row>
    <row r="630" spans="3:16" x14ac:dyDescent="0.2"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510"/>
      <c r="N630" s="1511"/>
      <c r="O630" s="1507"/>
      <c r="P630" s="1507"/>
    </row>
    <row r="631" spans="3:16" x14ac:dyDescent="0.2"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510"/>
      <c r="N631" s="1511"/>
      <c r="O631" s="1507"/>
      <c r="P631" s="1507"/>
    </row>
    <row r="632" spans="3:16" x14ac:dyDescent="0.2"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510"/>
      <c r="N632" s="1511"/>
      <c r="O632" s="1507"/>
      <c r="P632" s="1507"/>
    </row>
    <row r="633" spans="3:16" x14ac:dyDescent="0.2"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510"/>
      <c r="N633" s="1511"/>
      <c r="O633" s="1507"/>
      <c r="P633" s="1507"/>
    </row>
    <row r="634" spans="3:16" x14ac:dyDescent="0.2"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510"/>
      <c r="N634" s="1511"/>
      <c r="O634" s="1507"/>
      <c r="P634" s="1507"/>
    </row>
    <row r="635" spans="3:16" x14ac:dyDescent="0.2"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510"/>
      <c r="N635" s="1511"/>
      <c r="O635" s="1507"/>
      <c r="P635" s="1507"/>
    </row>
    <row r="636" spans="3:16" x14ac:dyDescent="0.2"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510"/>
      <c r="N636" s="1511"/>
      <c r="O636" s="1507"/>
      <c r="P636" s="1507"/>
    </row>
    <row r="637" spans="3:16" x14ac:dyDescent="0.2"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510"/>
      <c r="N637" s="1511"/>
      <c r="O637" s="1507"/>
      <c r="P637" s="1507"/>
    </row>
    <row r="638" spans="3:16" x14ac:dyDescent="0.2"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510"/>
      <c r="N638" s="1511"/>
      <c r="O638" s="1507"/>
      <c r="P638" s="1507"/>
    </row>
    <row r="639" spans="3:16" x14ac:dyDescent="0.2"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510"/>
      <c r="N639" s="1511"/>
      <c r="O639" s="1507"/>
      <c r="P639" s="1507"/>
    </row>
    <row r="640" spans="3:16" x14ac:dyDescent="0.2"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510"/>
      <c r="N640" s="1511"/>
      <c r="O640" s="1507"/>
      <c r="P640" s="1507"/>
    </row>
    <row r="641" spans="3:16" x14ac:dyDescent="0.2"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510"/>
      <c r="N641" s="1511"/>
      <c r="O641" s="1507"/>
      <c r="P641" s="1507"/>
    </row>
    <row r="642" spans="3:16" x14ac:dyDescent="0.2"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510"/>
      <c r="N642" s="1511"/>
      <c r="O642" s="1507"/>
      <c r="P642" s="1507"/>
    </row>
    <row r="643" spans="3:16" x14ac:dyDescent="0.2"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510"/>
      <c r="N643" s="1511"/>
      <c r="O643" s="1507"/>
      <c r="P643" s="1507"/>
    </row>
    <row r="644" spans="3:16" x14ac:dyDescent="0.2"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510"/>
      <c r="N644" s="1511"/>
      <c r="O644" s="1507"/>
      <c r="P644" s="1507"/>
    </row>
    <row r="645" spans="3:16" x14ac:dyDescent="0.2"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510"/>
      <c r="N645" s="1511"/>
      <c r="O645" s="1507"/>
      <c r="P645" s="1507"/>
    </row>
    <row r="646" spans="3:16" x14ac:dyDescent="0.2"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510"/>
      <c r="N646" s="1511"/>
      <c r="O646" s="1507"/>
      <c r="P646" s="1507"/>
    </row>
    <row r="647" spans="3:16" x14ac:dyDescent="0.2"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510"/>
      <c r="N647" s="1511"/>
      <c r="O647" s="1507"/>
      <c r="P647" s="1507"/>
    </row>
    <row r="648" spans="3:16" x14ac:dyDescent="0.2"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510"/>
      <c r="N648" s="1511"/>
      <c r="O648" s="1507"/>
      <c r="P648" s="1507"/>
    </row>
    <row r="649" spans="3:16" x14ac:dyDescent="0.2"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510"/>
      <c r="N649" s="1511"/>
      <c r="O649" s="1507"/>
      <c r="P649" s="1507"/>
    </row>
    <row r="650" spans="3:16" x14ac:dyDescent="0.2"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510"/>
      <c r="N650" s="1511"/>
      <c r="O650" s="1507"/>
      <c r="P650" s="1507"/>
    </row>
    <row r="651" spans="3:16" x14ac:dyDescent="0.2"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510"/>
      <c r="N651" s="1511"/>
      <c r="O651" s="1507"/>
      <c r="P651" s="1507"/>
    </row>
    <row r="652" spans="3:16" x14ac:dyDescent="0.2"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510"/>
      <c r="N652" s="1511"/>
      <c r="O652" s="1507"/>
      <c r="P652" s="1507"/>
    </row>
    <row r="653" spans="3:16" x14ac:dyDescent="0.2"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510"/>
      <c r="N653" s="1511"/>
      <c r="O653" s="1507"/>
      <c r="P653" s="1507"/>
    </row>
    <row r="654" spans="3:16" x14ac:dyDescent="0.2"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510"/>
      <c r="N654" s="1511"/>
      <c r="O654" s="1507"/>
      <c r="P654" s="1507"/>
    </row>
    <row r="655" spans="3:16" x14ac:dyDescent="0.2"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510"/>
      <c r="N655" s="1511"/>
      <c r="O655" s="1507"/>
      <c r="P655" s="1507"/>
    </row>
    <row r="656" spans="3:16" x14ac:dyDescent="0.2"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510"/>
      <c r="N656" s="1511"/>
      <c r="O656" s="1507"/>
      <c r="P656" s="1507"/>
    </row>
    <row r="657" spans="3:16" x14ac:dyDescent="0.2"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510"/>
      <c r="N657" s="1511"/>
      <c r="O657" s="1507"/>
      <c r="P657" s="1507"/>
    </row>
    <row r="658" spans="3:16" x14ac:dyDescent="0.2"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510"/>
      <c r="N658" s="1511"/>
      <c r="O658" s="1507"/>
      <c r="P658" s="1507"/>
    </row>
    <row r="659" spans="3:16" x14ac:dyDescent="0.2"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510"/>
      <c r="N659" s="1511"/>
      <c r="O659" s="1507"/>
      <c r="P659" s="1507"/>
    </row>
    <row r="660" spans="3:16" x14ac:dyDescent="0.2"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510"/>
      <c r="N660" s="1511"/>
      <c r="O660" s="1507"/>
      <c r="P660" s="1507"/>
    </row>
    <row r="661" spans="3:16" x14ac:dyDescent="0.2"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510"/>
      <c r="N661" s="1511"/>
      <c r="O661" s="1507"/>
      <c r="P661" s="1507"/>
    </row>
    <row r="662" spans="3:16" x14ac:dyDescent="0.2"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510"/>
      <c r="N662" s="1511"/>
      <c r="O662" s="1507"/>
      <c r="P662" s="1507"/>
    </row>
    <row r="663" spans="3:16" x14ac:dyDescent="0.2"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510"/>
      <c r="N663" s="1511"/>
      <c r="O663" s="1507"/>
      <c r="P663" s="1507"/>
    </row>
    <row r="664" spans="3:16" x14ac:dyDescent="0.2"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510"/>
      <c r="N664" s="1511"/>
      <c r="O664" s="1507"/>
      <c r="P664" s="1507"/>
    </row>
    <row r="665" spans="3:16" x14ac:dyDescent="0.2"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510"/>
      <c r="N665" s="1511"/>
      <c r="O665" s="1507"/>
      <c r="P665" s="1507"/>
    </row>
    <row r="666" spans="3:16" x14ac:dyDescent="0.2"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510"/>
      <c r="N666" s="1511"/>
      <c r="O666" s="1507"/>
      <c r="P666" s="1507"/>
    </row>
    <row r="667" spans="3:16" x14ac:dyDescent="0.2"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510"/>
      <c r="N667" s="1511"/>
      <c r="O667" s="1507"/>
      <c r="P667" s="1507"/>
    </row>
    <row r="668" spans="3:16" x14ac:dyDescent="0.2"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510"/>
      <c r="N668" s="1511"/>
      <c r="O668" s="1507"/>
      <c r="P668" s="1507"/>
    </row>
    <row r="669" spans="3:16" x14ac:dyDescent="0.2"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510"/>
      <c r="N669" s="1511"/>
      <c r="O669" s="1507"/>
      <c r="P669" s="1507"/>
    </row>
    <row r="670" spans="3:16" x14ac:dyDescent="0.2"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510"/>
      <c r="N670" s="1511"/>
      <c r="O670" s="1507"/>
      <c r="P670" s="1507"/>
    </row>
    <row r="671" spans="3:16" x14ac:dyDescent="0.2"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510"/>
      <c r="N671" s="1511"/>
      <c r="O671" s="1507"/>
      <c r="P671" s="1507"/>
    </row>
    <row r="672" spans="3:16" x14ac:dyDescent="0.2"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510"/>
      <c r="N672" s="1511"/>
      <c r="O672" s="1507"/>
      <c r="P672" s="1507"/>
    </row>
    <row r="673" spans="3:16" x14ac:dyDescent="0.2"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510"/>
      <c r="N673" s="1511"/>
      <c r="O673" s="1507"/>
      <c r="P673" s="1507"/>
    </row>
    <row r="674" spans="3:16" x14ac:dyDescent="0.2"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510"/>
      <c r="N674" s="1511"/>
      <c r="O674" s="1507"/>
      <c r="P674" s="1507"/>
    </row>
    <row r="675" spans="3:16" x14ac:dyDescent="0.2"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510"/>
      <c r="N675" s="1511"/>
      <c r="O675" s="1507"/>
      <c r="P675" s="1507"/>
    </row>
    <row r="676" spans="3:16" x14ac:dyDescent="0.2"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510"/>
      <c r="N676" s="1511"/>
      <c r="O676" s="1507"/>
      <c r="P676" s="1507"/>
    </row>
    <row r="677" spans="3:16" x14ac:dyDescent="0.2"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510"/>
      <c r="N677" s="1511"/>
      <c r="O677" s="1507"/>
      <c r="P677" s="1507"/>
    </row>
    <row r="678" spans="3:16" x14ac:dyDescent="0.2"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510"/>
      <c r="N678" s="1511"/>
      <c r="O678" s="1507"/>
      <c r="P678" s="1507"/>
    </row>
    <row r="679" spans="3:16" x14ac:dyDescent="0.2"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510"/>
      <c r="N679" s="1511"/>
      <c r="O679" s="1507"/>
      <c r="P679" s="1507"/>
    </row>
    <row r="680" spans="3:16" x14ac:dyDescent="0.2"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510"/>
      <c r="N680" s="1511"/>
      <c r="O680" s="1507"/>
      <c r="P680" s="1507"/>
    </row>
    <row r="681" spans="3:16" x14ac:dyDescent="0.2"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510"/>
      <c r="N681" s="1511"/>
      <c r="O681" s="1507"/>
      <c r="P681" s="1507"/>
    </row>
    <row r="682" spans="3:16" x14ac:dyDescent="0.2"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510"/>
      <c r="N682" s="1511"/>
      <c r="O682" s="1507"/>
      <c r="P682" s="1507"/>
    </row>
    <row r="683" spans="3:16" x14ac:dyDescent="0.2"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510"/>
      <c r="N683" s="1511"/>
      <c r="O683" s="1507"/>
      <c r="P683" s="1507"/>
    </row>
    <row r="684" spans="3:16" x14ac:dyDescent="0.2"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510"/>
      <c r="N684" s="1511"/>
      <c r="O684" s="1507"/>
      <c r="P684" s="1507"/>
    </row>
    <row r="685" spans="3:16" x14ac:dyDescent="0.2"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510"/>
      <c r="N685" s="1511"/>
      <c r="O685" s="1507"/>
      <c r="P685" s="1507"/>
    </row>
    <row r="686" spans="3:16" x14ac:dyDescent="0.2"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510"/>
      <c r="N686" s="1511"/>
      <c r="O686" s="1507"/>
      <c r="P686" s="1507"/>
    </row>
    <row r="687" spans="3:16" x14ac:dyDescent="0.2"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510"/>
      <c r="N687" s="1511"/>
      <c r="O687" s="1507"/>
      <c r="P687" s="1507"/>
    </row>
    <row r="688" spans="3:16" x14ac:dyDescent="0.2"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510"/>
      <c r="N688" s="1511"/>
      <c r="O688" s="1507"/>
      <c r="P688" s="1507"/>
    </row>
    <row r="689" spans="3:16" x14ac:dyDescent="0.2"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510"/>
      <c r="N689" s="1511"/>
      <c r="O689" s="1507"/>
      <c r="P689" s="1507"/>
    </row>
    <row r="690" spans="3:16" x14ac:dyDescent="0.2"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510"/>
      <c r="N690" s="1511"/>
      <c r="O690" s="1507"/>
      <c r="P690" s="1507"/>
    </row>
    <row r="691" spans="3:16" x14ac:dyDescent="0.2"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510"/>
      <c r="N691" s="1511"/>
      <c r="O691" s="1507"/>
      <c r="P691" s="1507"/>
    </row>
    <row r="692" spans="3:16" x14ac:dyDescent="0.2"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510"/>
      <c r="N692" s="1511"/>
      <c r="O692" s="1507"/>
      <c r="P692" s="1507"/>
    </row>
    <row r="693" spans="3:16" x14ac:dyDescent="0.2"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510"/>
      <c r="N693" s="1511"/>
      <c r="O693" s="1507"/>
      <c r="P693" s="1507"/>
    </row>
    <row r="694" spans="3:16" x14ac:dyDescent="0.2">
      <c r="C694" s="160"/>
      <c r="D694" s="160"/>
      <c r="E694" s="160"/>
      <c r="F694" s="160"/>
      <c r="G694" s="160"/>
      <c r="H694" s="160"/>
      <c r="I694" s="160"/>
      <c r="J694" s="160"/>
      <c r="K694" s="160"/>
      <c r="L694" s="160"/>
      <c r="M694" s="1510"/>
      <c r="N694" s="1511"/>
      <c r="O694" s="1507"/>
      <c r="P694" s="1507"/>
    </row>
    <row r="695" spans="3:16" x14ac:dyDescent="0.2">
      <c r="C695" s="160"/>
      <c r="D695" s="160"/>
      <c r="E695" s="160"/>
      <c r="F695" s="160"/>
      <c r="G695" s="160"/>
      <c r="H695" s="160"/>
      <c r="I695" s="160"/>
      <c r="J695" s="160"/>
      <c r="K695" s="160"/>
      <c r="L695" s="160"/>
      <c r="M695" s="1510"/>
      <c r="N695" s="1511"/>
      <c r="O695" s="1507"/>
      <c r="P695" s="1507"/>
    </row>
    <row r="696" spans="3:16" x14ac:dyDescent="0.2">
      <c r="C696" s="160"/>
      <c r="D696" s="160"/>
      <c r="E696" s="160"/>
      <c r="F696" s="160"/>
      <c r="G696" s="160"/>
      <c r="H696" s="160"/>
      <c r="I696" s="160"/>
      <c r="J696" s="160"/>
      <c r="K696" s="160"/>
      <c r="L696" s="160"/>
      <c r="M696" s="1510"/>
      <c r="N696" s="1511"/>
      <c r="O696" s="1507"/>
      <c r="P696" s="1507"/>
    </row>
    <row r="697" spans="3:16" x14ac:dyDescent="0.2">
      <c r="C697" s="160"/>
      <c r="D697" s="160"/>
      <c r="E697" s="160"/>
      <c r="F697" s="160"/>
      <c r="G697" s="160"/>
      <c r="H697" s="160"/>
      <c r="I697" s="160"/>
      <c r="J697" s="160"/>
      <c r="K697" s="160"/>
      <c r="L697" s="160"/>
      <c r="M697" s="1510"/>
      <c r="N697" s="1511"/>
      <c r="O697" s="1507"/>
      <c r="P697" s="1507"/>
    </row>
    <row r="698" spans="3:16" x14ac:dyDescent="0.2">
      <c r="C698" s="160"/>
      <c r="D698" s="160"/>
      <c r="E698" s="160"/>
      <c r="F698" s="160"/>
      <c r="G698" s="160"/>
      <c r="H698" s="160"/>
      <c r="I698" s="160"/>
      <c r="J698" s="160"/>
      <c r="K698" s="160"/>
      <c r="L698" s="160"/>
      <c r="M698" s="1510"/>
      <c r="N698" s="1511"/>
      <c r="O698" s="1507"/>
      <c r="P698" s="1507"/>
    </row>
    <row r="699" spans="3:16" x14ac:dyDescent="0.2">
      <c r="C699" s="160"/>
      <c r="D699" s="160"/>
      <c r="E699" s="160"/>
      <c r="F699" s="160"/>
      <c r="G699" s="160"/>
      <c r="H699" s="160"/>
      <c r="I699" s="160"/>
      <c r="J699" s="160"/>
      <c r="K699" s="160"/>
      <c r="L699" s="160"/>
      <c r="M699" s="1510"/>
      <c r="N699" s="1511"/>
      <c r="O699" s="1507"/>
      <c r="P699" s="1507"/>
    </row>
    <row r="700" spans="3:16" x14ac:dyDescent="0.2">
      <c r="C700" s="160"/>
      <c r="D700" s="160"/>
      <c r="E700" s="160"/>
      <c r="F700" s="160"/>
      <c r="G700" s="160"/>
      <c r="H700" s="160"/>
      <c r="I700" s="160"/>
      <c r="J700" s="160"/>
      <c r="K700" s="160"/>
      <c r="L700" s="160"/>
      <c r="M700" s="1510"/>
      <c r="N700" s="1511"/>
      <c r="O700" s="1507"/>
      <c r="P700" s="1507"/>
    </row>
    <row r="701" spans="3:16" x14ac:dyDescent="0.2">
      <c r="C701" s="160"/>
      <c r="D701" s="160"/>
      <c r="E701" s="160"/>
      <c r="F701" s="160"/>
      <c r="G701" s="160"/>
      <c r="H701" s="160"/>
      <c r="I701" s="160"/>
      <c r="J701" s="160"/>
      <c r="K701" s="160"/>
      <c r="L701" s="160"/>
      <c r="M701" s="1510"/>
      <c r="N701" s="1511"/>
      <c r="O701" s="1507"/>
      <c r="P701" s="1507"/>
    </row>
    <row r="702" spans="3:16" x14ac:dyDescent="0.2"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510"/>
      <c r="N702" s="1511"/>
      <c r="O702" s="1507"/>
      <c r="P702" s="1507"/>
    </row>
    <row r="703" spans="3:16" x14ac:dyDescent="0.2">
      <c r="C703" s="160"/>
      <c r="D703" s="160"/>
      <c r="E703" s="160"/>
      <c r="F703" s="160"/>
      <c r="G703" s="160"/>
      <c r="H703" s="160"/>
      <c r="I703" s="160"/>
      <c r="J703" s="160"/>
      <c r="K703" s="160"/>
      <c r="L703" s="160"/>
      <c r="M703" s="1510"/>
      <c r="N703" s="1511"/>
      <c r="O703" s="1507"/>
      <c r="P703" s="1507"/>
    </row>
    <row r="704" spans="3:16" x14ac:dyDescent="0.2">
      <c r="C704" s="160"/>
      <c r="D704" s="160"/>
      <c r="E704" s="160"/>
      <c r="F704" s="160"/>
      <c r="G704" s="160"/>
      <c r="H704" s="160"/>
      <c r="I704" s="160"/>
      <c r="J704" s="160"/>
      <c r="K704" s="160"/>
      <c r="L704" s="160"/>
      <c r="M704" s="1510"/>
      <c r="N704" s="1511"/>
      <c r="O704" s="1507"/>
      <c r="P704" s="1507"/>
    </row>
    <row r="705" spans="3:16" x14ac:dyDescent="0.2">
      <c r="C705" s="160"/>
      <c r="D705" s="160"/>
      <c r="E705" s="160"/>
      <c r="F705" s="160"/>
      <c r="G705" s="160"/>
      <c r="H705" s="160"/>
      <c r="I705" s="160"/>
      <c r="J705" s="160"/>
      <c r="K705" s="160"/>
      <c r="L705" s="160"/>
      <c r="M705" s="1510"/>
      <c r="N705" s="1511"/>
      <c r="O705" s="1507"/>
      <c r="P705" s="1507"/>
    </row>
    <row r="706" spans="3:16" x14ac:dyDescent="0.2"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510"/>
      <c r="N706" s="1511"/>
      <c r="O706" s="1507"/>
      <c r="P706" s="1507"/>
    </row>
    <row r="707" spans="3:16" x14ac:dyDescent="0.2">
      <c r="C707" s="160"/>
      <c r="D707" s="160"/>
      <c r="E707" s="160"/>
      <c r="F707" s="160"/>
      <c r="G707" s="160"/>
      <c r="H707" s="160"/>
      <c r="I707" s="160"/>
      <c r="J707" s="160"/>
      <c r="K707" s="160"/>
      <c r="L707" s="160"/>
      <c r="M707" s="1510"/>
      <c r="N707" s="1511"/>
      <c r="O707" s="1507"/>
      <c r="P707" s="1507"/>
    </row>
    <row r="708" spans="3:16" x14ac:dyDescent="0.2">
      <c r="C708" s="160"/>
      <c r="D708" s="160"/>
      <c r="E708" s="160"/>
      <c r="F708" s="160"/>
      <c r="G708" s="160"/>
      <c r="H708" s="160"/>
      <c r="I708" s="160"/>
      <c r="J708" s="160"/>
      <c r="K708" s="160"/>
      <c r="L708" s="160"/>
      <c r="M708" s="1510"/>
      <c r="N708" s="1511"/>
      <c r="O708" s="1507"/>
      <c r="P708" s="1507"/>
    </row>
    <row r="709" spans="3:16" x14ac:dyDescent="0.2">
      <c r="C709" s="160"/>
      <c r="D709" s="160"/>
      <c r="E709" s="160"/>
      <c r="F709" s="160"/>
      <c r="G709" s="160"/>
      <c r="H709" s="160"/>
      <c r="I709" s="160"/>
      <c r="J709" s="160"/>
      <c r="K709" s="160"/>
      <c r="L709" s="160"/>
      <c r="M709" s="1510"/>
      <c r="N709" s="1511"/>
      <c r="O709" s="1507"/>
      <c r="P709" s="1507"/>
    </row>
    <row r="710" spans="3:16" x14ac:dyDescent="0.2"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510"/>
      <c r="N710" s="1511"/>
      <c r="O710" s="1507"/>
      <c r="P710" s="1507"/>
    </row>
    <row r="711" spans="3:16" x14ac:dyDescent="0.2"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510"/>
      <c r="N711" s="1511"/>
      <c r="O711" s="1507"/>
      <c r="P711" s="1507"/>
    </row>
    <row r="712" spans="3:16" x14ac:dyDescent="0.2"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510"/>
      <c r="N712" s="1511"/>
      <c r="O712" s="1507"/>
      <c r="P712" s="1507"/>
    </row>
    <row r="713" spans="3:16" x14ac:dyDescent="0.2"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510"/>
      <c r="N713" s="1511"/>
      <c r="O713" s="1507"/>
      <c r="P713" s="1507"/>
    </row>
    <row r="714" spans="3:16" x14ac:dyDescent="0.2"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510"/>
      <c r="N714" s="1511"/>
      <c r="O714" s="1507"/>
      <c r="P714" s="1507"/>
    </row>
    <row r="715" spans="3:16" x14ac:dyDescent="0.2"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510"/>
      <c r="N715" s="1511"/>
      <c r="O715" s="1507"/>
      <c r="P715" s="1507"/>
    </row>
    <row r="716" spans="3:16" x14ac:dyDescent="0.2"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510"/>
      <c r="N716" s="1511"/>
      <c r="O716" s="1507"/>
      <c r="P716" s="1507"/>
    </row>
    <row r="717" spans="3:16" x14ac:dyDescent="0.2"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510"/>
      <c r="N717" s="1511"/>
      <c r="O717" s="1507"/>
      <c r="P717" s="1507"/>
    </row>
    <row r="718" spans="3:16" x14ac:dyDescent="0.2"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510"/>
      <c r="N718" s="1511"/>
      <c r="O718" s="1507"/>
      <c r="P718" s="1507"/>
    </row>
    <row r="719" spans="3:16" x14ac:dyDescent="0.2"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510"/>
      <c r="N719" s="1511"/>
      <c r="O719" s="1507"/>
      <c r="P719" s="1507"/>
    </row>
    <row r="720" spans="3:16" x14ac:dyDescent="0.2"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510"/>
      <c r="N720" s="1511"/>
      <c r="O720" s="1507"/>
      <c r="P720" s="1507"/>
    </row>
    <row r="721" spans="3:16" x14ac:dyDescent="0.2"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510"/>
      <c r="N721" s="1511"/>
      <c r="O721" s="1507"/>
      <c r="P721" s="1507"/>
    </row>
    <row r="722" spans="3:16" x14ac:dyDescent="0.2"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510"/>
      <c r="N722" s="1511"/>
      <c r="O722" s="1507"/>
      <c r="P722" s="1507"/>
    </row>
    <row r="723" spans="3:16" x14ac:dyDescent="0.2"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510"/>
      <c r="N723" s="1511"/>
      <c r="O723" s="1507"/>
      <c r="P723" s="1507"/>
    </row>
    <row r="724" spans="3:16" x14ac:dyDescent="0.2"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510"/>
      <c r="N724" s="1511"/>
      <c r="O724" s="1507"/>
      <c r="P724" s="1507"/>
    </row>
    <row r="725" spans="3:16" x14ac:dyDescent="0.2"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510"/>
      <c r="N725" s="1511"/>
      <c r="O725" s="1507"/>
      <c r="P725" s="1507"/>
    </row>
    <row r="726" spans="3:16" x14ac:dyDescent="0.2"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510"/>
      <c r="N726" s="1511"/>
      <c r="O726" s="1507"/>
      <c r="P726" s="1507"/>
    </row>
    <row r="727" spans="3:16" x14ac:dyDescent="0.2"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510"/>
      <c r="N727" s="1511"/>
      <c r="O727" s="1507"/>
      <c r="P727" s="1507"/>
    </row>
    <row r="728" spans="3:16" x14ac:dyDescent="0.2"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510"/>
      <c r="N728" s="1511"/>
      <c r="O728" s="1507"/>
      <c r="P728" s="1507"/>
    </row>
    <row r="729" spans="3:16" x14ac:dyDescent="0.2"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510"/>
      <c r="N729" s="1511"/>
      <c r="O729" s="1507"/>
      <c r="P729" s="1507"/>
    </row>
    <row r="730" spans="3:16" x14ac:dyDescent="0.2"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510"/>
      <c r="N730" s="1511"/>
      <c r="O730" s="1507"/>
      <c r="P730" s="1507"/>
    </row>
    <row r="731" spans="3:16" x14ac:dyDescent="0.2"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510"/>
      <c r="N731" s="1511"/>
      <c r="O731" s="1507"/>
      <c r="P731" s="1507"/>
    </row>
    <row r="732" spans="3:16" x14ac:dyDescent="0.2"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510"/>
      <c r="N732" s="1511"/>
      <c r="O732" s="1507"/>
      <c r="P732" s="1507"/>
    </row>
    <row r="733" spans="3:16" x14ac:dyDescent="0.2"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510"/>
      <c r="N733" s="1511"/>
      <c r="O733" s="1507"/>
      <c r="P733" s="1507"/>
    </row>
    <row r="734" spans="3:16" x14ac:dyDescent="0.2"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510"/>
      <c r="N734" s="1511"/>
      <c r="O734" s="1507"/>
      <c r="P734" s="1507"/>
    </row>
    <row r="735" spans="3:16" x14ac:dyDescent="0.2"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510"/>
      <c r="N735" s="1511"/>
      <c r="O735" s="1507"/>
      <c r="P735" s="1507"/>
    </row>
    <row r="736" spans="3:16" x14ac:dyDescent="0.2"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510"/>
      <c r="N736" s="1511"/>
      <c r="O736" s="1507"/>
      <c r="P736" s="1507"/>
    </row>
    <row r="737" spans="3:16" x14ac:dyDescent="0.2"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510"/>
      <c r="N737" s="1511"/>
      <c r="O737" s="1507"/>
      <c r="P737" s="1507"/>
    </row>
    <row r="738" spans="3:16" x14ac:dyDescent="0.2"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510"/>
      <c r="N738" s="1511"/>
      <c r="O738" s="1507"/>
      <c r="P738" s="1507"/>
    </row>
    <row r="739" spans="3:16" x14ac:dyDescent="0.2"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510"/>
      <c r="N739" s="1511"/>
      <c r="O739" s="1507"/>
      <c r="P739" s="1507"/>
    </row>
    <row r="740" spans="3:16" x14ac:dyDescent="0.2"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510"/>
      <c r="N740" s="1511"/>
      <c r="O740" s="1507"/>
      <c r="P740" s="1507"/>
    </row>
    <row r="741" spans="3:16" x14ac:dyDescent="0.2"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510"/>
      <c r="N741" s="1511"/>
      <c r="O741" s="1507"/>
      <c r="P741" s="1507"/>
    </row>
    <row r="742" spans="3:16" x14ac:dyDescent="0.2"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510"/>
      <c r="N742" s="1511"/>
      <c r="O742" s="1507"/>
      <c r="P742" s="1507"/>
    </row>
    <row r="743" spans="3:16" x14ac:dyDescent="0.2"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510"/>
      <c r="N743" s="1511"/>
      <c r="O743" s="1507"/>
      <c r="P743" s="1507"/>
    </row>
    <row r="744" spans="3:16" x14ac:dyDescent="0.2"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510"/>
      <c r="N744" s="1511"/>
      <c r="O744" s="1507"/>
      <c r="P744" s="1507"/>
    </row>
    <row r="745" spans="3:16" x14ac:dyDescent="0.2"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510"/>
      <c r="N745" s="1511"/>
      <c r="O745" s="1507"/>
      <c r="P745" s="1507"/>
    </row>
    <row r="746" spans="3:16" x14ac:dyDescent="0.2"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510"/>
      <c r="N746" s="1511"/>
      <c r="O746" s="1507"/>
      <c r="P746" s="1507"/>
    </row>
    <row r="747" spans="3:16" x14ac:dyDescent="0.2"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510"/>
      <c r="N747" s="1511"/>
      <c r="O747" s="1507"/>
      <c r="P747" s="1507"/>
    </row>
    <row r="748" spans="3:16" x14ac:dyDescent="0.2"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510"/>
      <c r="N748" s="1511"/>
      <c r="O748" s="1507"/>
      <c r="P748" s="1507"/>
    </row>
    <row r="749" spans="3:16" x14ac:dyDescent="0.2"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510"/>
      <c r="N749" s="1511"/>
      <c r="O749" s="1507"/>
      <c r="P749" s="1507"/>
    </row>
    <row r="750" spans="3:16" x14ac:dyDescent="0.2"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510"/>
      <c r="N750" s="1511"/>
      <c r="O750" s="1507"/>
      <c r="P750" s="1507"/>
    </row>
    <row r="751" spans="3:16" x14ac:dyDescent="0.2"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510"/>
      <c r="N751" s="1511"/>
      <c r="O751" s="1507"/>
      <c r="P751" s="1507"/>
    </row>
    <row r="752" spans="3:16" x14ac:dyDescent="0.2"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510"/>
      <c r="N752" s="1511"/>
      <c r="O752" s="1507"/>
      <c r="P752" s="1507"/>
    </row>
    <row r="753" spans="3:16" x14ac:dyDescent="0.2"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510"/>
      <c r="N753" s="1511"/>
      <c r="O753" s="1507"/>
      <c r="P753" s="1507"/>
    </row>
    <row r="754" spans="3:16" x14ac:dyDescent="0.2"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510"/>
      <c r="N754" s="1511"/>
      <c r="O754" s="1507"/>
      <c r="P754" s="1507"/>
    </row>
    <row r="755" spans="3:16" x14ac:dyDescent="0.2"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510"/>
      <c r="N755" s="1511"/>
      <c r="O755" s="1507"/>
      <c r="P755" s="1507"/>
    </row>
    <row r="756" spans="3:16" x14ac:dyDescent="0.2"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510"/>
      <c r="N756" s="1511"/>
      <c r="O756" s="1507"/>
      <c r="P756" s="1507"/>
    </row>
    <row r="757" spans="3:16" x14ac:dyDescent="0.2"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510"/>
      <c r="N757" s="1511"/>
      <c r="O757" s="1507"/>
      <c r="P757" s="1507"/>
    </row>
    <row r="758" spans="3:16" x14ac:dyDescent="0.2"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510"/>
      <c r="N758" s="1511"/>
      <c r="O758" s="1507"/>
      <c r="P758" s="1507"/>
    </row>
    <row r="759" spans="3:16" x14ac:dyDescent="0.2"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510"/>
      <c r="N759" s="1511"/>
      <c r="O759" s="1507"/>
      <c r="P759" s="1507"/>
    </row>
    <row r="760" spans="3:16" x14ac:dyDescent="0.2"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510"/>
      <c r="N760" s="1511"/>
      <c r="O760" s="1507"/>
      <c r="P760" s="1507"/>
    </row>
    <row r="761" spans="3:16" x14ac:dyDescent="0.2"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510"/>
      <c r="N761" s="1511"/>
      <c r="O761" s="1507"/>
      <c r="P761" s="1507"/>
    </row>
    <row r="762" spans="3:16" x14ac:dyDescent="0.2"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510"/>
      <c r="N762" s="1511"/>
      <c r="O762" s="1507"/>
      <c r="P762" s="1507"/>
    </row>
    <row r="763" spans="3:16" x14ac:dyDescent="0.2"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510"/>
      <c r="N763" s="1511"/>
      <c r="O763" s="1507"/>
      <c r="P763" s="1507"/>
    </row>
    <row r="764" spans="3:16" x14ac:dyDescent="0.2"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510"/>
      <c r="N764" s="1511"/>
      <c r="O764" s="1507"/>
      <c r="P764" s="1507"/>
    </row>
    <row r="765" spans="3:16" x14ac:dyDescent="0.2"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510"/>
      <c r="N765" s="1511"/>
      <c r="O765" s="1507"/>
      <c r="P765" s="1507"/>
    </row>
    <row r="766" spans="3:16" x14ac:dyDescent="0.2"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510"/>
      <c r="N766" s="1511"/>
      <c r="O766" s="1507"/>
      <c r="P766" s="1507"/>
    </row>
    <row r="767" spans="3:16" x14ac:dyDescent="0.2"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510"/>
      <c r="N767" s="1511"/>
      <c r="O767" s="1507"/>
      <c r="P767" s="1507"/>
    </row>
    <row r="768" spans="3:16" x14ac:dyDescent="0.2"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510"/>
      <c r="N768" s="1511"/>
      <c r="O768" s="1507"/>
      <c r="P768" s="1507"/>
    </row>
    <row r="769" spans="3:16" x14ac:dyDescent="0.2"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510"/>
      <c r="N769" s="1511"/>
      <c r="O769" s="1507"/>
      <c r="P769" s="1507"/>
    </row>
    <row r="770" spans="3:16" x14ac:dyDescent="0.2"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510"/>
      <c r="N770" s="1511"/>
      <c r="O770" s="1507"/>
      <c r="P770" s="1507"/>
    </row>
    <row r="771" spans="3:16" x14ac:dyDescent="0.2"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510"/>
      <c r="N771" s="1511"/>
      <c r="O771" s="1507"/>
      <c r="P771" s="1507"/>
    </row>
    <row r="772" spans="3:16" x14ac:dyDescent="0.2"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510"/>
      <c r="N772" s="1511"/>
      <c r="O772" s="1507"/>
      <c r="P772" s="1507"/>
    </row>
    <row r="773" spans="3:16" x14ac:dyDescent="0.2"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510"/>
      <c r="N773" s="1511"/>
      <c r="O773" s="1507"/>
      <c r="P773" s="1507"/>
    </row>
    <row r="774" spans="3:16" x14ac:dyDescent="0.2"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510"/>
      <c r="N774" s="1511"/>
      <c r="O774" s="1507"/>
      <c r="P774" s="1507"/>
    </row>
    <row r="775" spans="3:16" x14ac:dyDescent="0.2"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510"/>
      <c r="N775" s="1511"/>
      <c r="O775" s="1507"/>
      <c r="P775" s="1507"/>
    </row>
    <row r="776" spans="3:16" x14ac:dyDescent="0.2"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510"/>
      <c r="N776" s="1511"/>
      <c r="O776" s="1507"/>
      <c r="P776" s="1507"/>
    </row>
    <row r="777" spans="3:16" x14ac:dyDescent="0.2"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510"/>
      <c r="N777" s="1511"/>
      <c r="O777" s="1507"/>
      <c r="P777" s="1507"/>
    </row>
    <row r="778" spans="3:16" x14ac:dyDescent="0.2"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510"/>
      <c r="N778" s="1511"/>
      <c r="O778" s="1507"/>
      <c r="P778" s="1507"/>
    </row>
    <row r="779" spans="3:16" x14ac:dyDescent="0.2"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510"/>
      <c r="N779" s="1511"/>
      <c r="O779" s="1507"/>
      <c r="P779" s="1507"/>
    </row>
    <row r="780" spans="3:16" x14ac:dyDescent="0.2"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510"/>
      <c r="N780" s="1511"/>
      <c r="O780" s="1507"/>
      <c r="P780" s="1507"/>
    </row>
    <row r="781" spans="3:16" x14ac:dyDescent="0.2"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510"/>
      <c r="N781" s="1511"/>
      <c r="O781" s="1507"/>
      <c r="P781" s="1507"/>
    </row>
    <row r="782" spans="3:16" x14ac:dyDescent="0.2"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510"/>
      <c r="N782" s="1511"/>
      <c r="O782" s="1507"/>
      <c r="P782" s="1507"/>
    </row>
    <row r="783" spans="3:16" x14ac:dyDescent="0.2"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510"/>
      <c r="N783" s="1511"/>
      <c r="O783" s="1507"/>
      <c r="P783" s="1507"/>
    </row>
    <row r="784" spans="3:16" x14ac:dyDescent="0.2"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510"/>
      <c r="N784" s="1511"/>
      <c r="O784" s="1507"/>
      <c r="P784" s="1507"/>
    </row>
    <row r="785" spans="3:16" x14ac:dyDescent="0.2"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510"/>
      <c r="N785" s="1511"/>
      <c r="O785" s="1507"/>
      <c r="P785" s="1507"/>
    </row>
    <row r="786" spans="3:16" x14ac:dyDescent="0.2"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510"/>
      <c r="N786" s="1511"/>
      <c r="O786" s="1507"/>
      <c r="P786" s="1507"/>
    </row>
    <row r="787" spans="3:16" x14ac:dyDescent="0.2"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510"/>
      <c r="N787" s="1511"/>
      <c r="O787" s="1507"/>
      <c r="P787" s="1507"/>
    </row>
    <row r="788" spans="3:16" x14ac:dyDescent="0.2"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510"/>
      <c r="N788" s="1511"/>
      <c r="O788" s="1507"/>
      <c r="P788" s="1507"/>
    </row>
    <row r="789" spans="3:16" x14ac:dyDescent="0.2"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510"/>
      <c r="N789" s="1511"/>
      <c r="O789" s="1507"/>
      <c r="P789" s="1507"/>
    </row>
    <row r="790" spans="3:16" x14ac:dyDescent="0.2"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510"/>
      <c r="N790" s="1511"/>
      <c r="O790" s="1507"/>
      <c r="P790" s="1507"/>
    </row>
    <row r="791" spans="3:16" x14ac:dyDescent="0.2"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510"/>
      <c r="N791" s="1511"/>
      <c r="O791" s="1507"/>
      <c r="P791" s="1507"/>
    </row>
    <row r="792" spans="3:16" x14ac:dyDescent="0.2"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510"/>
      <c r="N792" s="1511"/>
      <c r="O792" s="1507"/>
      <c r="P792" s="1507"/>
    </row>
    <row r="793" spans="3:16" x14ac:dyDescent="0.2"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510"/>
      <c r="N793" s="1511"/>
      <c r="O793" s="1507"/>
      <c r="P793" s="1507"/>
    </row>
    <row r="794" spans="3:16" x14ac:dyDescent="0.2"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510"/>
      <c r="N794" s="1511"/>
      <c r="O794" s="1507"/>
      <c r="P794" s="1507"/>
    </row>
    <row r="795" spans="3:16" x14ac:dyDescent="0.2"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510"/>
      <c r="N795" s="1511"/>
      <c r="O795" s="1507"/>
      <c r="P795" s="1507"/>
    </row>
    <row r="796" spans="3:16" x14ac:dyDescent="0.2"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510"/>
      <c r="N796" s="1511"/>
      <c r="O796" s="1507"/>
      <c r="P796" s="1507"/>
    </row>
    <row r="797" spans="3:16" x14ac:dyDescent="0.2"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510"/>
      <c r="N797" s="1511"/>
      <c r="O797" s="1507"/>
      <c r="P797" s="1507"/>
    </row>
    <row r="798" spans="3:16" x14ac:dyDescent="0.2"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510"/>
      <c r="N798" s="1511"/>
      <c r="O798" s="1507"/>
      <c r="P798" s="1507"/>
    </row>
    <row r="799" spans="3:16" x14ac:dyDescent="0.2"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510"/>
      <c r="N799" s="1511"/>
      <c r="O799" s="1507"/>
      <c r="P799" s="1507"/>
    </row>
    <row r="800" spans="3:16" x14ac:dyDescent="0.2"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510"/>
      <c r="N800" s="1511"/>
      <c r="O800" s="1507"/>
      <c r="P800" s="1507"/>
    </row>
    <row r="801" spans="3:16" x14ac:dyDescent="0.2"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510"/>
      <c r="N801" s="1511"/>
      <c r="O801" s="1507"/>
      <c r="P801" s="1507"/>
    </row>
    <row r="802" spans="3:16" x14ac:dyDescent="0.2"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510"/>
      <c r="N802" s="1511"/>
      <c r="O802" s="1507"/>
      <c r="P802" s="1507"/>
    </row>
    <row r="803" spans="3:16" x14ac:dyDescent="0.2"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510"/>
      <c r="N803" s="1511"/>
      <c r="O803" s="1507"/>
      <c r="P803" s="1507"/>
    </row>
    <row r="804" spans="3:16" x14ac:dyDescent="0.2"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510"/>
      <c r="N804" s="1511"/>
      <c r="O804" s="1507"/>
      <c r="P804" s="1507"/>
    </row>
    <row r="805" spans="3:16" x14ac:dyDescent="0.2"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510"/>
      <c r="N805" s="1511"/>
      <c r="O805" s="1507"/>
      <c r="P805" s="1507"/>
    </row>
    <row r="806" spans="3:16" x14ac:dyDescent="0.2"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510"/>
      <c r="N806" s="1511"/>
      <c r="O806" s="1507"/>
      <c r="P806" s="1507"/>
    </row>
    <row r="807" spans="3:16" x14ac:dyDescent="0.2"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510"/>
      <c r="N807" s="1511"/>
      <c r="O807" s="1507"/>
      <c r="P807" s="1507"/>
    </row>
    <row r="808" spans="3:16" x14ac:dyDescent="0.2"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510"/>
      <c r="N808" s="1511"/>
      <c r="O808" s="1507"/>
      <c r="P808" s="1507"/>
    </row>
    <row r="809" spans="3:16" x14ac:dyDescent="0.2"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510"/>
      <c r="N809" s="1511"/>
      <c r="O809" s="1507"/>
      <c r="P809" s="1507"/>
    </row>
    <row r="810" spans="3:16" x14ac:dyDescent="0.2"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510"/>
      <c r="N810" s="1511"/>
      <c r="O810" s="1507"/>
      <c r="P810" s="1507"/>
    </row>
    <row r="811" spans="3:16" x14ac:dyDescent="0.2"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510"/>
      <c r="N811" s="1511"/>
      <c r="O811" s="1507"/>
      <c r="P811" s="1507"/>
    </row>
    <row r="812" spans="3:16" x14ac:dyDescent="0.2"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510"/>
      <c r="N812" s="1511"/>
      <c r="O812" s="1507"/>
      <c r="P812" s="1507"/>
    </row>
    <row r="813" spans="3:16" x14ac:dyDescent="0.2"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510"/>
      <c r="N813" s="1511"/>
      <c r="O813" s="1507"/>
      <c r="P813" s="1507"/>
    </row>
    <row r="814" spans="3:16" x14ac:dyDescent="0.2"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510"/>
      <c r="N814" s="1511"/>
      <c r="O814" s="1507"/>
      <c r="P814" s="1507"/>
    </row>
    <row r="815" spans="3:16" x14ac:dyDescent="0.2"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510"/>
      <c r="N815" s="1511"/>
      <c r="O815" s="1507"/>
      <c r="P815" s="1507"/>
    </row>
    <row r="816" spans="3:16" x14ac:dyDescent="0.2"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510"/>
      <c r="N816" s="1511"/>
      <c r="O816" s="1507"/>
      <c r="P816" s="1507"/>
    </row>
    <row r="817" spans="3:16" x14ac:dyDescent="0.2"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510"/>
      <c r="N817" s="1511"/>
      <c r="O817" s="1507"/>
      <c r="P817" s="1507"/>
    </row>
    <row r="818" spans="3:16" x14ac:dyDescent="0.2"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510"/>
      <c r="N818" s="1511"/>
      <c r="O818" s="1507"/>
      <c r="P818" s="1507"/>
    </row>
    <row r="819" spans="3:16" x14ac:dyDescent="0.2"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510"/>
      <c r="N819" s="1511"/>
      <c r="O819" s="1507"/>
      <c r="P819" s="1507"/>
    </row>
    <row r="820" spans="3:16" x14ac:dyDescent="0.2"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510"/>
      <c r="N820" s="1511"/>
      <c r="O820" s="1507"/>
      <c r="P820" s="1507"/>
    </row>
    <row r="821" spans="3:16" x14ac:dyDescent="0.2"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510"/>
      <c r="N821" s="1511"/>
      <c r="O821" s="1507"/>
      <c r="P821" s="1507"/>
    </row>
    <row r="822" spans="3:16" x14ac:dyDescent="0.2"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510"/>
      <c r="N822" s="1511"/>
      <c r="O822" s="1507"/>
      <c r="P822" s="1507"/>
    </row>
    <row r="823" spans="3:16" x14ac:dyDescent="0.2"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510"/>
      <c r="N823" s="1511"/>
      <c r="O823" s="1507"/>
      <c r="P823" s="1507"/>
    </row>
    <row r="824" spans="3:16" x14ac:dyDescent="0.2"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510"/>
      <c r="N824" s="1511"/>
      <c r="O824" s="1507"/>
      <c r="P824" s="1507"/>
    </row>
    <row r="825" spans="3:16" x14ac:dyDescent="0.2"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510"/>
      <c r="N825" s="1511"/>
      <c r="O825" s="1507"/>
      <c r="P825" s="1507"/>
    </row>
    <row r="826" spans="3:16" x14ac:dyDescent="0.2"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510"/>
      <c r="N826" s="1511"/>
      <c r="O826" s="1507"/>
      <c r="P826" s="1507"/>
    </row>
    <row r="827" spans="3:16" x14ac:dyDescent="0.2"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510"/>
      <c r="N827" s="1511"/>
      <c r="O827" s="1507"/>
      <c r="P827" s="1507"/>
    </row>
    <row r="828" spans="3:16" x14ac:dyDescent="0.2"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510"/>
      <c r="N828" s="1511"/>
      <c r="O828" s="1507"/>
      <c r="P828" s="1507"/>
    </row>
    <row r="829" spans="3:16" x14ac:dyDescent="0.2"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510"/>
      <c r="N829" s="1511"/>
      <c r="O829" s="1507"/>
      <c r="P829" s="1507"/>
    </row>
    <row r="830" spans="3:16" x14ac:dyDescent="0.2"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510"/>
      <c r="N830" s="1511"/>
      <c r="O830" s="1507"/>
      <c r="P830" s="1507"/>
    </row>
    <row r="831" spans="3:16" x14ac:dyDescent="0.2"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510"/>
      <c r="N831" s="1511"/>
      <c r="O831" s="1507"/>
      <c r="P831" s="1507"/>
    </row>
    <row r="832" spans="3:16" x14ac:dyDescent="0.2"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510"/>
      <c r="N832" s="1511"/>
      <c r="O832" s="1507"/>
      <c r="P832" s="1507"/>
    </row>
    <row r="833" spans="3:16" x14ac:dyDescent="0.2"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510"/>
      <c r="N833" s="1511"/>
      <c r="O833" s="1507"/>
      <c r="P833" s="1507"/>
    </row>
    <row r="834" spans="3:16" x14ac:dyDescent="0.2"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510"/>
      <c r="N834" s="1511"/>
      <c r="O834" s="1507"/>
      <c r="P834" s="1507"/>
    </row>
    <row r="835" spans="3:16" x14ac:dyDescent="0.2"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510"/>
      <c r="N835" s="1511"/>
      <c r="O835" s="1507"/>
      <c r="P835" s="1507"/>
    </row>
    <row r="836" spans="3:16" x14ac:dyDescent="0.2"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510"/>
      <c r="N836" s="1511"/>
      <c r="O836" s="1507"/>
      <c r="P836" s="1507"/>
    </row>
    <row r="837" spans="3:16" x14ac:dyDescent="0.2"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510"/>
      <c r="N837" s="1511"/>
      <c r="O837" s="1507"/>
      <c r="P837" s="1507"/>
    </row>
    <row r="838" spans="3:16" x14ac:dyDescent="0.2"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510"/>
      <c r="N838" s="1511"/>
      <c r="O838" s="1507"/>
      <c r="P838" s="1507"/>
    </row>
    <row r="839" spans="3:16" x14ac:dyDescent="0.2"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510"/>
      <c r="N839" s="1511"/>
      <c r="O839" s="1507"/>
      <c r="P839" s="1507"/>
    </row>
    <row r="840" spans="3:16" x14ac:dyDescent="0.2"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510"/>
      <c r="N840" s="1511"/>
      <c r="O840" s="1507"/>
      <c r="P840" s="1507"/>
    </row>
    <row r="841" spans="3:16" x14ac:dyDescent="0.2"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510"/>
      <c r="N841" s="1511"/>
      <c r="O841" s="1507"/>
      <c r="P841" s="1507"/>
    </row>
    <row r="842" spans="3:16" x14ac:dyDescent="0.2"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510"/>
      <c r="N842" s="1511"/>
      <c r="O842" s="1507"/>
      <c r="P842" s="1507"/>
    </row>
    <row r="843" spans="3:16" x14ac:dyDescent="0.2"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510"/>
      <c r="N843" s="1511"/>
      <c r="O843" s="1507"/>
      <c r="P843" s="1507"/>
    </row>
    <row r="844" spans="3:16" x14ac:dyDescent="0.2"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510"/>
      <c r="N844" s="1511"/>
      <c r="O844" s="1507"/>
      <c r="P844" s="1507"/>
    </row>
    <row r="845" spans="3:16" x14ac:dyDescent="0.2"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510"/>
      <c r="N845" s="1511"/>
      <c r="O845" s="1507"/>
      <c r="P845" s="1507"/>
    </row>
    <row r="846" spans="3:16" x14ac:dyDescent="0.2"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510"/>
      <c r="N846" s="1511"/>
      <c r="O846" s="1507"/>
      <c r="P846" s="1507"/>
    </row>
    <row r="847" spans="3:16" x14ac:dyDescent="0.2"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510"/>
      <c r="N847" s="1511"/>
      <c r="O847" s="1507"/>
      <c r="P847" s="1507"/>
    </row>
    <row r="848" spans="3:16" x14ac:dyDescent="0.2"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510"/>
      <c r="N848" s="1511"/>
      <c r="O848" s="1507"/>
      <c r="P848" s="1507"/>
    </row>
    <row r="849" spans="3:16" x14ac:dyDescent="0.2"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510"/>
      <c r="N849" s="1511"/>
      <c r="O849" s="1507"/>
      <c r="P849" s="1507"/>
    </row>
    <row r="850" spans="3:16" x14ac:dyDescent="0.2"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510"/>
      <c r="N850" s="1511"/>
      <c r="O850" s="1507"/>
      <c r="P850" s="1507"/>
    </row>
    <row r="851" spans="3:16" x14ac:dyDescent="0.2"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510"/>
      <c r="N851" s="1511"/>
      <c r="O851" s="1507"/>
      <c r="P851" s="1507"/>
    </row>
    <row r="852" spans="3:16" x14ac:dyDescent="0.2"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510"/>
      <c r="N852" s="1511"/>
      <c r="O852" s="1507"/>
      <c r="P852" s="1507"/>
    </row>
    <row r="853" spans="3:16" x14ac:dyDescent="0.2"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510"/>
      <c r="N853" s="1511"/>
      <c r="O853" s="1507"/>
      <c r="P853" s="1507"/>
    </row>
    <row r="854" spans="3:16" x14ac:dyDescent="0.2"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510"/>
      <c r="N854" s="1511"/>
      <c r="O854" s="1507"/>
      <c r="P854" s="1507"/>
    </row>
    <row r="855" spans="3:16" x14ac:dyDescent="0.2"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510"/>
      <c r="N855" s="1511"/>
      <c r="O855" s="1507"/>
      <c r="P855" s="1507"/>
    </row>
    <row r="856" spans="3:16" x14ac:dyDescent="0.2"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510"/>
      <c r="N856" s="1511"/>
      <c r="O856" s="1507"/>
      <c r="P856" s="1507"/>
    </row>
    <row r="857" spans="3:16" x14ac:dyDescent="0.2"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510"/>
      <c r="N857" s="1511"/>
      <c r="O857" s="1507"/>
      <c r="P857" s="1507"/>
    </row>
    <row r="858" spans="3:16" x14ac:dyDescent="0.2"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510"/>
      <c r="N858" s="1511"/>
      <c r="O858" s="1507"/>
      <c r="P858" s="1507"/>
    </row>
    <row r="859" spans="3:16" x14ac:dyDescent="0.2"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510"/>
      <c r="N859" s="1511"/>
      <c r="O859" s="1507"/>
      <c r="P859" s="1507"/>
    </row>
    <row r="860" spans="3:16" x14ac:dyDescent="0.2"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510"/>
      <c r="N860" s="1511"/>
      <c r="O860" s="1507"/>
      <c r="P860" s="1507"/>
    </row>
    <row r="861" spans="3:16" x14ac:dyDescent="0.2"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510"/>
      <c r="N861" s="1511"/>
      <c r="O861" s="1507"/>
      <c r="P861" s="1507"/>
    </row>
    <row r="862" spans="3:16" x14ac:dyDescent="0.2"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510"/>
      <c r="N862" s="1511"/>
      <c r="O862" s="1507"/>
      <c r="P862" s="1507"/>
    </row>
    <row r="863" spans="3:16" x14ac:dyDescent="0.2"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510"/>
      <c r="N863" s="1511"/>
      <c r="O863" s="1507"/>
      <c r="P863" s="1507"/>
    </row>
    <row r="864" spans="3:16" x14ac:dyDescent="0.2"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510"/>
      <c r="N864" s="1511"/>
      <c r="O864" s="1507"/>
      <c r="P864" s="1507"/>
    </row>
    <row r="865" spans="3:16" x14ac:dyDescent="0.2"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510"/>
      <c r="N865" s="1511"/>
      <c r="O865" s="1507"/>
      <c r="P865" s="1507"/>
    </row>
    <row r="866" spans="3:16" x14ac:dyDescent="0.2"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510"/>
      <c r="N866" s="1511"/>
      <c r="O866" s="1507"/>
      <c r="P866" s="1507"/>
    </row>
    <row r="867" spans="3:16" x14ac:dyDescent="0.2"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510"/>
      <c r="N867" s="1511"/>
      <c r="O867" s="1507"/>
      <c r="P867" s="1507"/>
    </row>
    <row r="868" spans="3:16" x14ac:dyDescent="0.2"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510"/>
      <c r="N868" s="1511"/>
      <c r="O868" s="1507"/>
      <c r="P868" s="1507"/>
    </row>
    <row r="869" spans="3:16" x14ac:dyDescent="0.2"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510"/>
      <c r="N869" s="1511"/>
      <c r="O869" s="1507"/>
      <c r="P869" s="1507"/>
    </row>
    <row r="870" spans="3:16" x14ac:dyDescent="0.2"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510"/>
      <c r="N870" s="1511"/>
      <c r="O870" s="1507"/>
      <c r="P870" s="1507"/>
    </row>
    <row r="871" spans="3:16" x14ac:dyDescent="0.2"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510"/>
      <c r="N871" s="1511"/>
      <c r="O871" s="1507"/>
      <c r="P871" s="1507"/>
    </row>
    <row r="872" spans="3:16" x14ac:dyDescent="0.2"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510"/>
      <c r="N872" s="1511"/>
      <c r="O872" s="1507"/>
      <c r="P872" s="1507"/>
    </row>
    <row r="873" spans="3:16" x14ac:dyDescent="0.2"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510"/>
      <c r="N873" s="1511"/>
      <c r="O873" s="1507"/>
      <c r="P873" s="1507"/>
    </row>
    <row r="874" spans="3:16" x14ac:dyDescent="0.2"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510"/>
      <c r="N874" s="1511"/>
      <c r="O874" s="1507"/>
      <c r="P874" s="1507"/>
    </row>
    <row r="875" spans="3:16" x14ac:dyDescent="0.2"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510"/>
      <c r="N875" s="1511"/>
      <c r="O875" s="1507"/>
      <c r="P875" s="1507"/>
    </row>
    <row r="876" spans="3:16" x14ac:dyDescent="0.2"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510"/>
      <c r="N876" s="1511"/>
      <c r="O876" s="1507"/>
      <c r="P876" s="1507"/>
    </row>
    <row r="877" spans="3:16" x14ac:dyDescent="0.2"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510"/>
      <c r="N877" s="1511"/>
      <c r="O877" s="1507"/>
      <c r="P877" s="1507"/>
    </row>
    <row r="878" spans="3:16" x14ac:dyDescent="0.2"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510"/>
      <c r="N878" s="1511"/>
      <c r="O878" s="1507"/>
      <c r="P878" s="1507"/>
    </row>
    <row r="879" spans="3:16" x14ac:dyDescent="0.2"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510"/>
      <c r="N879" s="1511"/>
      <c r="O879" s="1507"/>
      <c r="P879" s="1507"/>
    </row>
    <row r="880" spans="3:16" x14ac:dyDescent="0.2"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510"/>
      <c r="N880" s="1511"/>
      <c r="O880" s="1507"/>
      <c r="P880" s="1507"/>
    </row>
    <row r="881" spans="3:16" x14ac:dyDescent="0.2"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510"/>
      <c r="N881" s="1511"/>
      <c r="O881" s="1507"/>
      <c r="P881" s="1507"/>
    </row>
    <row r="882" spans="3:16" x14ac:dyDescent="0.2"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510"/>
      <c r="N882" s="1511"/>
      <c r="O882" s="1507"/>
      <c r="P882" s="1507"/>
    </row>
    <row r="883" spans="3:16" x14ac:dyDescent="0.2"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510"/>
      <c r="N883" s="1511"/>
      <c r="O883" s="1507"/>
      <c r="P883" s="1507"/>
    </row>
    <row r="884" spans="3:16" x14ac:dyDescent="0.2"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510"/>
      <c r="N884" s="1511"/>
      <c r="O884" s="1507"/>
      <c r="P884" s="1507"/>
    </row>
    <row r="885" spans="3:16" x14ac:dyDescent="0.2"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510"/>
      <c r="N885" s="1511"/>
      <c r="O885" s="1507"/>
      <c r="P885" s="1507"/>
    </row>
    <row r="886" spans="3:16" x14ac:dyDescent="0.2"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510"/>
      <c r="N886" s="1511"/>
      <c r="O886" s="1507"/>
      <c r="P886" s="1507"/>
    </row>
    <row r="887" spans="3:16" x14ac:dyDescent="0.2"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510"/>
      <c r="N887" s="1511"/>
      <c r="O887" s="1507"/>
      <c r="P887" s="1507"/>
    </row>
    <row r="888" spans="3:16" x14ac:dyDescent="0.2"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510"/>
      <c r="N888" s="1511"/>
      <c r="O888" s="1507"/>
      <c r="P888" s="1507"/>
    </row>
    <row r="889" spans="3:16" x14ac:dyDescent="0.2"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510"/>
      <c r="N889" s="1511"/>
      <c r="O889" s="1507"/>
      <c r="P889" s="1507"/>
    </row>
    <row r="890" spans="3:16" x14ac:dyDescent="0.2"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510"/>
      <c r="N890" s="1511"/>
      <c r="O890" s="1507"/>
      <c r="P890" s="1507"/>
    </row>
    <row r="891" spans="3:16" x14ac:dyDescent="0.2"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510"/>
      <c r="N891" s="1511"/>
      <c r="O891" s="1507"/>
      <c r="P891" s="1507"/>
    </row>
    <row r="892" spans="3:16" x14ac:dyDescent="0.2"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510"/>
      <c r="N892" s="1511"/>
      <c r="O892" s="1507"/>
      <c r="P892" s="1507"/>
    </row>
    <row r="893" spans="3:16" x14ac:dyDescent="0.2"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510"/>
      <c r="N893" s="1511"/>
      <c r="O893" s="1507"/>
      <c r="P893" s="1507"/>
    </row>
    <row r="894" spans="3:16" x14ac:dyDescent="0.2"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510"/>
      <c r="N894" s="1511"/>
      <c r="O894" s="1507"/>
      <c r="P894" s="1507"/>
    </row>
    <row r="895" spans="3:16" x14ac:dyDescent="0.2"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510"/>
      <c r="N895" s="1511"/>
      <c r="O895" s="1507"/>
      <c r="P895" s="1507"/>
    </row>
    <row r="896" spans="3:16" x14ac:dyDescent="0.2"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510"/>
      <c r="N896" s="1511"/>
      <c r="O896" s="1507"/>
      <c r="P896" s="1507"/>
    </row>
    <row r="897" spans="3:16" x14ac:dyDescent="0.2"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510"/>
      <c r="N897" s="1511"/>
      <c r="O897" s="1507"/>
      <c r="P897" s="1507"/>
    </row>
    <row r="898" spans="3:16" x14ac:dyDescent="0.2"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510"/>
      <c r="N898" s="1511"/>
      <c r="O898" s="1507"/>
      <c r="P898" s="1507"/>
    </row>
    <row r="899" spans="3:16" x14ac:dyDescent="0.2"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510"/>
      <c r="N899" s="1511"/>
      <c r="O899" s="1507"/>
      <c r="P899" s="1507"/>
    </row>
    <row r="900" spans="3:16" x14ac:dyDescent="0.2"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510"/>
      <c r="N900" s="1511"/>
      <c r="O900" s="1507"/>
      <c r="P900" s="1507"/>
    </row>
    <row r="901" spans="3:16" x14ac:dyDescent="0.2"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510"/>
      <c r="N901" s="1511"/>
      <c r="O901" s="1507"/>
      <c r="P901" s="1507"/>
    </row>
    <row r="902" spans="3:16" x14ac:dyDescent="0.2"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510"/>
      <c r="N902" s="1511"/>
      <c r="O902" s="1507"/>
      <c r="P902" s="1507"/>
    </row>
    <row r="903" spans="3:16" x14ac:dyDescent="0.2"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510"/>
      <c r="N903" s="1511"/>
      <c r="O903" s="1507"/>
      <c r="P903" s="1507"/>
    </row>
    <row r="904" spans="3:16" x14ac:dyDescent="0.2"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510"/>
      <c r="N904" s="1511"/>
      <c r="O904" s="1507"/>
      <c r="P904" s="1507"/>
    </row>
    <row r="905" spans="3:16" x14ac:dyDescent="0.2"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510"/>
      <c r="N905" s="1511"/>
      <c r="O905" s="1507"/>
      <c r="P905" s="1507"/>
    </row>
    <row r="906" spans="3:16" x14ac:dyDescent="0.2"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510"/>
      <c r="N906" s="1511"/>
      <c r="O906" s="1507"/>
      <c r="P906" s="1507"/>
    </row>
    <row r="907" spans="3:16" x14ac:dyDescent="0.2"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510"/>
      <c r="N907" s="1511"/>
      <c r="O907" s="1507"/>
      <c r="P907" s="1507"/>
    </row>
    <row r="908" spans="3:16" x14ac:dyDescent="0.2"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510"/>
      <c r="N908" s="1511"/>
      <c r="O908" s="1507"/>
      <c r="P908" s="1507"/>
    </row>
    <row r="909" spans="3:16" x14ac:dyDescent="0.2"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510"/>
      <c r="N909" s="1511"/>
      <c r="O909" s="1507"/>
      <c r="P909" s="1507"/>
    </row>
    <row r="910" spans="3:16" x14ac:dyDescent="0.2"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510"/>
      <c r="N910" s="1511"/>
      <c r="O910" s="1507"/>
      <c r="P910" s="1507"/>
    </row>
    <row r="911" spans="3:16" x14ac:dyDescent="0.2"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510"/>
      <c r="N911" s="1511"/>
      <c r="O911" s="1507"/>
      <c r="P911" s="1507"/>
    </row>
    <row r="912" spans="3:16" x14ac:dyDescent="0.2"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510"/>
      <c r="N912" s="1511"/>
      <c r="O912" s="1507"/>
      <c r="P912" s="1507"/>
    </row>
    <row r="913" spans="3:16" x14ac:dyDescent="0.2"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510"/>
      <c r="N913" s="1511"/>
      <c r="O913" s="1507"/>
      <c r="P913" s="1507"/>
    </row>
    <row r="914" spans="3:16" x14ac:dyDescent="0.2"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510"/>
      <c r="N914" s="1511"/>
      <c r="O914" s="1507"/>
      <c r="P914" s="1507"/>
    </row>
    <row r="915" spans="3:16" x14ac:dyDescent="0.2"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510"/>
      <c r="N915" s="1511"/>
      <c r="O915" s="1507"/>
      <c r="P915" s="1507"/>
    </row>
    <row r="916" spans="3:16" x14ac:dyDescent="0.2"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510"/>
      <c r="N916" s="1511"/>
      <c r="O916" s="1507"/>
      <c r="P916" s="1507"/>
    </row>
    <row r="917" spans="3:16" x14ac:dyDescent="0.2"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510"/>
      <c r="N917" s="1511"/>
      <c r="O917" s="1507"/>
      <c r="P917" s="1507"/>
    </row>
    <row r="918" spans="3:16" x14ac:dyDescent="0.2"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510"/>
      <c r="N918" s="1511"/>
      <c r="O918" s="1507"/>
      <c r="P918" s="1507"/>
    </row>
    <row r="919" spans="3:16" x14ac:dyDescent="0.2"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510"/>
      <c r="N919" s="1511"/>
      <c r="O919" s="1507"/>
      <c r="P919" s="1507"/>
    </row>
    <row r="920" spans="3:16" x14ac:dyDescent="0.2"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510"/>
      <c r="N920" s="1511"/>
      <c r="O920" s="1507"/>
      <c r="P920" s="1507"/>
    </row>
    <row r="921" spans="3:16" x14ac:dyDescent="0.2"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510"/>
      <c r="N921" s="1511"/>
      <c r="O921" s="1507"/>
      <c r="P921" s="1507"/>
    </row>
    <row r="922" spans="3:16" x14ac:dyDescent="0.2"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510"/>
      <c r="N922" s="1511"/>
      <c r="O922" s="1507"/>
      <c r="P922" s="1507"/>
    </row>
    <row r="923" spans="3:16" x14ac:dyDescent="0.2"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510"/>
      <c r="N923" s="1511"/>
      <c r="O923" s="1507"/>
      <c r="P923" s="1507"/>
    </row>
    <row r="924" spans="3:16" x14ac:dyDescent="0.2"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510"/>
      <c r="N924" s="1511"/>
      <c r="O924" s="1507"/>
      <c r="P924" s="1507"/>
    </row>
    <row r="925" spans="3:16" x14ac:dyDescent="0.2"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510"/>
      <c r="N925" s="1511"/>
      <c r="O925" s="1507"/>
      <c r="P925" s="1507"/>
    </row>
    <row r="926" spans="3:16" x14ac:dyDescent="0.2"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510"/>
      <c r="N926" s="1511"/>
      <c r="O926" s="1507"/>
      <c r="P926" s="1507"/>
    </row>
    <row r="927" spans="3:16" x14ac:dyDescent="0.2"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510"/>
      <c r="N927" s="1511"/>
      <c r="O927" s="1507"/>
      <c r="P927" s="1507"/>
    </row>
    <row r="928" spans="3:16" x14ac:dyDescent="0.2"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510"/>
      <c r="N928" s="1511"/>
      <c r="O928" s="1507"/>
      <c r="P928" s="1507"/>
    </row>
    <row r="929" spans="3:16" x14ac:dyDescent="0.2"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510"/>
      <c r="N929" s="1511"/>
      <c r="O929" s="1507"/>
      <c r="P929" s="1507"/>
    </row>
    <row r="930" spans="3:16" x14ac:dyDescent="0.2"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510"/>
      <c r="N930" s="1511"/>
      <c r="O930" s="1507"/>
      <c r="P930" s="1507"/>
    </row>
    <row r="931" spans="3:16" x14ac:dyDescent="0.2"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510"/>
      <c r="N931" s="1511"/>
      <c r="O931" s="1507"/>
      <c r="P931" s="1507"/>
    </row>
    <row r="932" spans="3:16" x14ac:dyDescent="0.2"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510"/>
      <c r="N932" s="1511"/>
      <c r="O932" s="1507"/>
      <c r="P932" s="1507"/>
    </row>
    <row r="933" spans="3:16" x14ac:dyDescent="0.2"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510"/>
      <c r="N933" s="1511"/>
      <c r="O933" s="1507"/>
      <c r="P933" s="1507"/>
    </row>
    <row r="934" spans="3:16" x14ac:dyDescent="0.2"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510"/>
      <c r="N934" s="1511"/>
      <c r="O934" s="1507"/>
      <c r="P934" s="1507"/>
    </row>
    <row r="935" spans="3:16" x14ac:dyDescent="0.2"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510"/>
      <c r="N935" s="1511"/>
      <c r="O935" s="1507"/>
      <c r="P935" s="1507"/>
    </row>
    <row r="936" spans="3:16" x14ac:dyDescent="0.2"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510"/>
      <c r="N936" s="1511"/>
      <c r="O936" s="1507"/>
      <c r="P936" s="1507"/>
    </row>
    <row r="937" spans="3:16" x14ac:dyDescent="0.2"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510"/>
      <c r="N937" s="1511"/>
      <c r="O937" s="1507"/>
      <c r="P937" s="1507"/>
    </row>
    <row r="938" spans="3:16" x14ac:dyDescent="0.2"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510"/>
      <c r="N938" s="1511"/>
      <c r="O938" s="1507"/>
      <c r="P938" s="1507"/>
    </row>
    <row r="939" spans="3:16" x14ac:dyDescent="0.2"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510"/>
      <c r="N939" s="1511"/>
      <c r="O939" s="1507"/>
      <c r="P939" s="1507"/>
    </row>
    <row r="940" spans="3:16" x14ac:dyDescent="0.2"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510"/>
      <c r="N940" s="1511"/>
      <c r="O940" s="1507"/>
      <c r="P940" s="1507"/>
    </row>
    <row r="941" spans="3:16" x14ac:dyDescent="0.2"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510"/>
      <c r="N941" s="1511"/>
      <c r="O941" s="1507"/>
      <c r="P941" s="1507"/>
    </row>
    <row r="942" spans="3:16" x14ac:dyDescent="0.2"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510"/>
      <c r="N942" s="1511"/>
      <c r="O942" s="1507"/>
      <c r="P942" s="1507"/>
    </row>
    <row r="943" spans="3:16" x14ac:dyDescent="0.2"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510"/>
      <c r="N943" s="1511"/>
      <c r="O943" s="1507"/>
      <c r="P943" s="1507"/>
    </row>
    <row r="944" spans="3:16" x14ac:dyDescent="0.2"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510"/>
      <c r="N944" s="1511"/>
      <c r="O944" s="1507"/>
      <c r="P944" s="1507"/>
    </row>
    <row r="945" spans="3:16" x14ac:dyDescent="0.2"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510"/>
      <c r="N945" s="1511"/>
      <c r="O945" s="1507"/>
      <c r="P945" s="1507"/>
    </row>
    <row r="946" spans="3:16" x14ac:dyDescent="0.2"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510"/>
      <c r="N946" s="1511"/>
      <c r="O946" s="1507"/>
      <c r="P946" s="1507"/>
    </row>
    <row r="947" spans="3:16" x14ac:dyDescent="0.2"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510"/>
      <c r="N947" s="1511"/>
      <c r="O947" s="1507"/>
      <c r="P947" s="1507"/>
    </row>
    <row r="948" spans="3:16" x14ac:dyDescent="0.2"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510"/>
      <c r="N948" s="1511"/>
      <c r="O948" s="1507"/>
      <c r="P948" s="1507"/>
    </row>
    <row r="949" spans="3:16" x14ac:dyDescent="0.2"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510"/>
      <c r="N949" s="1511"/>
      <c r="O949" s="1507"/>
      <c r="P949" s="1507"/>
    </row>
    <row r="950" spans="3:16" x14ac:dyDescent="0.2"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510"/>
      <c r="N950" s="1511"/>
      <c r="O950" s="1507"/>
      <c r="P950" s="1507"/>
    </row>
    <row r="951" spans="3:16" x14ac:dyDescent="0.2"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510"/>
      <c r="N951" s="1511"/>
      <c r="O951" s="1507"/>
      <c r="P951" s="1507"/>
    </row>
    <row r="952" spans="3:16" x14ac:dyDescent="0.2"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510"/>
      <c r="N952" s="1511"/>
      <c r="O952" s="1507"/>
      <c r="P952" s="1507"/>
    </row>
    <row r="953" spans="3:16" x14ac:dyDescent="0.2"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510"/>
      <c r="N953" s="1511"/>
      <c r="O953" s="1507"/>
      <c r="P953" s="1507"/>
    </row>
    <row r="954" spans="3:16" x14ac:dyDescent="0.2"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510"/>
      <c r="N954" s="1511"/>
      <c r="O954" s="1507"/>
      <c r="P954" s="1507"/>
    </row>
    <row r="955" spans="3:16" x14ac:dyDescent="0.2"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510"/>
      <c r="N955" s="1511"/>
      <c r="O955" s="1507"/>
      <c r="P955" s="1507"/>
    </row>
    <row r="956" spans="3:16" x14ac:dyDescent="0.2"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510"/>
      <c r="N956" s="1511"/>
      <c r="O956" s="1507"/>
      <c r="P956" s="1507"/>
    </row>
    <row r="957" spans="3:16" x14ac:dyDescent="0.2"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510"/>
      <c r="N957" s="1511"/>
      <c r="O957" s="1507"/>
      <c r="P957" s="1507"/>
    </row>
    <row r="958" spans="3:16" x14ac:dyDescent="0.2"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510"/>
      <c r="N958" s="1511"/>
      <c r="O958" s="1507"/>
      <c r="P958" s="1507"/>
    </row>
    <row r="959" spans="3:16" x14ac:dyDescent="0.2"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510"/>
      <c r="N959" s="1511"/>
      <c r="O959" s="1507"/>
      <c r="P959" s="1507"/>
    </row>
    <row r="960" spans="3:16" x14ac:dyDescent="0.2"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510"/>
      <c r="N960" s="1511"/>
      <c r="O960" s="1507"/>
      <c r="P960" s="1507"/>
    </row>
    <row r="961" spans="3:16" x14ac:dyDescent="0.2"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510"/>
      <c r="N961" s="1511"/>
      <c r="O961" s="1507"/>
      <c r="P961" s="1507"/>
    </row>
    <row r="962" spans="3:16" x14ac:dyDescent="0.2"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510"/>
      <c r="N962" s="1511"/>
      <c r="O962" s="1507"/>
      <c r="P962" s="1507"/>
    </row>
    <row r="963" spans="3:16" x14ac:dyDescent="0.2"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510"/>
      <c r="N963" s="1511"/>
      <c r="O963" s="1507"/>
      <c r="P963" s="1507"/>
    </row>
    <row r="964" spans="3:16" x14ac:dyDescent="0.2"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510"/>
      <c r="N964" s="1511"/>
      <c r="O964" s="1507"/>
      <c r="P964" s="1507"/>
    </row>
    <row r="965" spans="3:16" x14ac:dyDescent="0.2"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510"/>
      <c r="N965" s="1511"/>
      <c r="O965" s="1507"/>
      <c r="P965" s="1507"/>
    </row>
    <row r="966" spans="3:16" x14ac:dyDescent="0.2"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510"/>
      <c r="N966" s="1511"/>
      <c r="O966" s="1507"/>
      <c r="P966" s="1507"/>
    </row>
    <row r="967" spans="3:16" x14ac:dyDescent="0.2"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510"/>
      <c r="N967" s="1511"/>
      <c r="O967" s="1507"/>
      <c r="P967" s="1507"/>
    </row>
    <row r="968" spans="3:16" x14ac:dyDescent="0.2"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510"/>
      <c r="N968" s="1511"/>
      <c r="O968" s="1507"/>
      <c r="P968" s="1507"/>
    </row>
    <row r="969" spans="3:16" x14ac:dyDescent="0.2"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510"/>
      <c r="N969" s="1511"/>
      <c r="O969" s="1507"/>
      <c r="P969" s="1507"/>
    </row>
    <row r="970" spans="3:16" x14ac:dyDescent="0.2"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510"/>
      <c r="N970" s="1511"/>
      <c r="O970" s="1507"/>
      <c r="P970" s="1507"/>
    </row>
    <row r="971" spans="3:16" x14ac:dyDescent="0.2"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510"/>
      <c r="N971" s="1511"/>
      <c r="O971" s="1507"/>
      <c r="P971" s="1507"/>
    </row>
    <row r="972" spans="3:16" x14ac:dyDescent="0.2">
      <c r="C972" s="160"/>
      <c r="D972" s="160"/>
      <c r="E972" s="160"/>
      <c r="F972" s="160"/>
      <c r="G972" s="160"/>
      <c r="H972" s="160"/>
      <c r="I972" s="160"/>
      <c r="J972" s="160"/>
      <c r="K972" s="160"/>
      <c r="L972" s="160"/>
      <c r="M972" s="1510"/>
      <c r="N972" s="1511"/>
      <c r="O972" s="1507"/>
      <c r="P972" s="1507"/>
    </row>
    <row r="973" spans="3:16" x14ac:dyDescent="0.2">
      <c r="C973" s="160"/>
      <c r="D973" s="160"/>
      <c r="E973" s="160"/>
      <c r="F973" s="160"/>
      <c r="G973" s="160"/>
      <c r="H973" s="160"/>
      <c r="I973" s="160"/>
      <c r="J973" s="160"/>
      <c r="K973" s="160"/>
      <c r="L973" s="160"/>
      <c r="M973" s="1510"/>
      <c r="N973" s="1511"/>
      <c r="O973" s="1507"/>
      <c r="P973" s="1507"/>
    </row>
    <row r="974" spans="3:16" x14ac:dyDescent="0.2">
      <c r="C974" s="160"/>
      <c r="D974" s="160"/>
      <c r="E974" s="160"/>
      <c r="F974" s="160"/>
      <c r="G974" s="160"/>
      <c r="H974" s="160"/>
      <c r="I974" s="160"/>
      <c r="J974" s="160"/>
      <c r="K974" s="160"/>
      <c r="L974" s="160"/>
      <c r="M974" s="1510"/>
      <c r="N974" s="1511"/>
      <c r="O974" s="1507"/>
      <c r="P974" s="1507"/>
    </row>
    <row r="975" spans="3:16" x14ac:dyDescent="0.2">
      <c r="C975" s="160"/>
      <c r="D975" s="160"/>
      <c r="E975" s="160"/>
      <c r="F975" s="160"/>
      <c r="G975" s="160"/>
      <c r="H975" s="160"/>
      <c r="I975" s="160"/>
      <c r="J975" s="160"/>
      <c r="K975" s="160"/>
      <c r="L975" s="160"/>
      <c r="M975" s="1510"/>
      <c r="N975" s="1511"/>
      <c r="O975" s="1507"/>
      <c r="P975" s="1507"/>
    </row>
    <row r="976" spans="3:16" x14ac:dyDescent="0.2">
      <c r="C976" s="160"/>
      <c r="D976" s="160"/>
      <c r="E976" s="160"/>
      <c r="F976" s="160"/>
      <c r="G976" s="160"/>
      <c r="H976" s="160"/>
      <c r="I976" s="160"/>
      <c r="J976" s="160"/>
      <c r="K976" s="160"/>
      <c r="L976" s="160"/>
      <c r="M976" s="1510"/>
      <c r="N976" s="1511"/>
      <c r="O976" s="1507"/>
      <c r="P976" s="1507"/>
    </row>
    <row r="977" spans="3:16" x14ac:dyDescent="0.2">
      <c r="C977" s="160"/>
      <c r="D977" s="160"/>
      <c r="E977" s="160"/>
      <c r="F977" s="160"/>
      <c r="G977" s="160"/>
      <c r="H977" s="160"/>
      <c r="I977" s="160"/>
      <c r="J977" s="160"/>
      <c r="K977" s="160"/>
      <c r="L977" s="160"/>
      <c r="M977" s="1510"/>
      <c r="N977" s="1511"/>
      <c r="O977" s="1507"/>
      <c r="P977" s="1507"/>
    </row>
    <row r="978" spans="3:16" x14ac:dyDescent="0.2">
      <c r="C978" s="160"/>
      <c r="D978" s="160"/>
      <c r="E978" s="160"/>
      <c r="F978" s="160"/>
      <c r="G978" s="160"/>
      <c r="H978" s="160"/>
      <c r="I978" s="160"/>
      <c r="J978" s="160"/>
      <c r="K978" s="160"/>
      <c r="L978" s="160"/>
      <c r="M978" s="1510"/>
      <c r="N978" s="1511"/>
      <c r="O978" s="1507"/>
      <c r="P978" s="1507"/>
    </row>
    <row r="979" spans="3:16" x14ac:dyDescent="0.2">
      <c r="C979" s="160"/>
      <c r="D979" s="160"/>
      <c r="E979" s="160"/>
      <c r="F979" s="160"/>
      <c r="G979" s="160"/>
      <c r="H979" s="160"/>
      <c r="I979" s="160"/>
      <c r="J979" s="160"/>
      <c r="K979" s="160"/>
      <c r="L979" s="160"/>
      <c r="M979" s="1510"/>
      <c r="N979" s="1511"/>
      <c r="O979" s="1507"/>
      <c r="P979" s="1507"/>
    </row>
    <row r="980" spans="3:16" x14ac:dyDescent="0.2">
      <c r="C980" s="160"/>
      <c r="D980" s="160"/>
      <c r="E980" s="160"/>
      <c r="F980" s="160"/>
      <c r="G980" s="160"/>
      <c r="H980" s="160"/>
      <c r="I980" s="160"/>
      <c r="J980" s="160"/>
      <c r="K980" s="160"/>
      <c r="L980" s="160"/>
      <c r="M980" s="1510"/>
      <c r="N980" s="1511"/>
      <c r="O980" s="1507"/>
      <c r="P980" s="1507"/>
    </row>
    <row r="981" spans="3:16" x14ac:dyDescent="0.2">
      <c r="C981" s="160"/>
      <c r="D981" s="160"/>
      <c r="E981" s="160"/>
      <c r="F981" s="160"/>
      <c r="G981" s="160"/>
      <c r="H981" s="160"/>
      <c r="I981" s="160"/>
      <c r="J981" s="160"/>
      <c r="K981" s="160"/>
      <c r="L981" s="160"/>
      <c r="M981" s="1510"/>
      <c r="N981" s="1511"/>
      <c r="O981" s="1507"/>
      <c r="P981" s="1507"/>
    </row>
    <row r="982" spans="3:16" x14ac:dyDescent="0.2"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510"/>
      <c r="N982" s="1511"/>
      <c r="O982" s="1507"/>
      <c r="P982" s="1507"/>
    </row>
    <row r="983" spans="3:16" x14ac:dyDescent="0.2"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510"/>
      <c r="N983" s="1511"/>
      <c r="O983" s="1507"/>
      <c r="P983" s="1507"/>
    </row>
    <row r="984" spans="3:16" x14ac:dyDescent="0.2"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510"/>
      <c r="N984" s="1511"/>
      <c r="O984" s="1507"/>
      <c r="P984" s="1507"/>
    </row>
    <row r="985" spans="3:16" x14ac:dyDescent="0.2"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510"/>
      <c r="N985" s="1511"/>
      <c r="O985" s="1507"/>
      <c r="P985" s="1507"/>
    </row>
    <row r="986" spans="3:16" x14ac:dyDescent="0.2"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510"/>
      <c r="N986" s="1511"/>
      <c r="O986" s="1507"/>
      <c r="P986" s="1507"/>
    </row>
    <row r="987" spans="3:16" x14ac:dyDescent="0.2"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510"/>
      <c r="N987" s="1511"/>
      <c r="O987" s="1507"/>
      <c r="P987" s="1507"/>
    </row>
    <row r="988" spans="3:16" x14ac:dyDescent="0.2"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510"/>
      <c r="N988" s="1511"/>
      <c r="O988" s="1507"/>
      <c r="P988" s="1507"/>
    </row>
    <row r="989" spans="3:16" x14ac:dyDescent="0.2">
      <c r="C989" s="160"/>
      <c r="D989" s="160"/>
      <c r="E989" s="160"/>
      <c r="F989" s="160"/>
      <c r="G989" s="160"/>
      <c r="H989" s="160"/>
      <c r="I989" s="160"/>
      <c r="J989" s="160"/>
      <c r="K989" s="160"/>
      <c r="L989" s="160"/>
      <c r="M989" s="1510"/>
      <c r="N989" s="1511"/>
      <c r="O989" s="1507"/>
      <c r="P989" s="1507"/>
    </row>
    <row r="990" spans="3:16" x14ac:dyDescent="0.2"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510"/>
      <c r="N990" s="1511"/>
      <c r="O990" s="1507"/>
      <c r="P990" s="1507"/>
    </row>
    <row r="991" spans="3:16" x14ac:dyDescent="0.2">
      <c r="C991" s="160"/>
      <c r="D991" s="160"/>
      <c r="E991" s="160"/>
      <c r="F991" s="160"/>
      <c r="G991" s="160"/>
      <c r="H991" s="160"/>
      <c r="I991" s="160"/>
      <c r="J991" s="160"/>
      <c r="K991" s="160"/>
      <c r="L991" s="160"/>
      <c r="M991" s="1510"/>
      <c r="N991" s="1511"/>
      <c r="O991" s="1507"/>
      <c r="P991" s="1507"/>
    </row>
    <row r="992" spans="3:16" x14ac:dyDescent="0.2">
      <c r="C992" s="160"/>
      <c r="D992" s="160"/>
      <c r="E992" s="160"/>
      <c r="F992" s="160"/>
      <c r="G992" s="160"/>
      <c r="H992" s="160"/>
      <c r="I992" s="160"/>
      <c r="J992" s="160"/>
      <c r="K992" s="160"/>
      <c r="L992" s="160"/>
      <c r="M992" s="1510"/>
      <c r="N992" s="1511"/>
      <c r="O992" s="1507"/>
      <c r="P992" s="1507"/>
    </row>
    <row r="993" spans="3:16" x14ac:dyDescent="0.2">
      <c r="C993" s="160"/>
      <c r="D993" s="160"/>
      <c r="E993" s="160"/>
      <c r="F993" s="160"/>
      <c r="G993" s="160"/>
      <c r="H993" s="160"/>
      <c r="I993" s="160"/>
      <c r="J993" s="160"/>
      <c r="K993" s="160"/>
      <c r="L993" s="160"/>
      <c r="M993" s="1510"/>
      <c r="N993" s="1511"/>
      <c r="O993" s="1507"/>
      <c r="P993" s="1507"/>
    </row>
    <row r="994" spans="3:16" x14ac:dyDescent="0.2">
      <c r="C994" s="160"/>
      <c r="D994" s="160"/>
      <c r="E994" s="160"/>
      <c r="F994" s="160"/>
      <c r="G994" s="160"/>
      <c r="H994" s="160"/>
      <c r="I994" s="160"/>
      <c r="J994" s="160"/>
      <c r="K994" s="160"/>
      <c r="L994" s="160"/>
      <c r="M994" s="1510"/>
      <c r="N994" s="1511"/>
      <c r="O994" s="1507"/>
      <c r="P994" s="1507"/>
    </row>
    <row r="995" spans="3:16" x14ac:dyDescent="0.2">
      <c r="C995" s="160"/>
      <c r="D995" s="160"/>
      <c r="E995" s="160"/>
      <c r="F995" s="160"/>
      <c r="G995" s="160"/>
      <c r="H995" s="160"/>
      <c r="I995" s="160"/>
      <c r="J995" s="160"/>
      <c r="K995" s="160"/>
      <c r="L995" s="160"/>
      <c r="M995" s="1510"/>
      <c r="N995" s="1511"/>
      <c r="O995" s="1507"/>
      <c r="P995" s="1507"/>
    </row>
    <row r="996" spans="3:16" x14ac:dyDescent="0.2">
      <c r="C996" s="160"/>
      <c r="D996" s="160"/>
      <c r="E996" s="160"/>
      <c r="F996" s="160"/>
      <c r="G996" s="160"/>
      <c r="H996" s="160"/>
      <c r="I996" s="160"/>
      <c r="J996" s="160"/>
      <c r="K996" s="160"/>
      <c r="L996" s="160"/>
      <c r="M996" s="1510"/>
      <c r="N996" s="1511"/>
      <c r="O996" s="1507"/>
      <c r="P996" s="1507"/>
    </row>
    <row r="997" spans="3:16" x14ac:dyDescent="0.2">
      <c r="C997" s="160"/>
      <c r="D997" s="160"/>
      <c r="E997" s="160"/>
      <c r="F997" s="160"/>
      <c r="G997" s="160"/>
      <c r="H997" s="160"/>
      <c r="I997" s="160"/>
      <c r="J997" s="160"/>
      <c r="K997" s="160"/>
      <c r="L997" s="160"/>
      <c r="M997" s="1510"/>
      <c r="N997" s="1511"/>
      <c r="O997" s="1507"/>
      <c r="P997" s="1507"/>
    </row>
    <row r="998" spans="3:16" x14ac:dyDescent="0.2"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510"/>
      <c r="N998" s="1511"/>
      <c r="O998" s="1507"/>
      <c r="P998" s="1507"/>
    </row>
    <row r="999" spans="3:16" x14ac:dyDescent="0.2">
      <c r="C999" s="160"/>
      <c r="D999" s="160"/>
      <c r="E999" s="160"/>
      <c r="F999" s="160"/>
      <c r="G999" s="160"/>
      <c r="H999" s="160"/>
      <c r="I999" s="160"/>
      <c r="J999" s="160"/>
      <c r="K999" s="160"/>
      <c r="L999" s="160"/>
      <c r="M999" s="1510"/>
      <c r="N999" s="1511"/>
      <c r="O999" s="1507"/>
      <c r="P999" s="1507"/>
    </row>
    <row r="1000" spans="3:16" x14ac:dyDescent="0.2">
      <c r="C1000" s="160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510"/>
      <c r="N1000" s="1511"/>
      <c r="O1000" s="1507"/>
      <c r="P1000" s="1507"/>
    </row>
    <row r="1001" spans="3:16" x14ac:dyDescent="0.2">
      <c r="C1001" s="160"/>
      <c r="D1001" s="160"/>
      <c r="E1001" s="160"/>
      <c r="F1001" s="160"/>
      <c r="G1001" s="160"/>
      <c r="H1001" s="160"/>
      <c r="I1001" s="160"/>
      <c r="J1001" s="160"/>
      <c r="K1001" s="160"/>
      <c r="L1001" s="160"/>
      <c r="M1001" s="1510"/>
      <c r="N1001" s="1511"/>
      <c r="O1001" s="1507"/>
      <c r="P1001" s="1507"/>
    </row>
    <row r="1002" spans="3:16" x14ac:dyDescent="0.2">
      <c r="C1002" s="160"/>
      <c r="D1002" s="160"/>
      <c r="E1002" s="160"/>
      <c r="F1002" s="160"/>
      <c r="G1002" s="160"/>
      <c r="H1002" s="160"/>
      <c r="I1002" s="160"/>
      <c r="J1002" s="160"/>
      <c r="K1002" s="160"/>
      <c r="L1002" s="160"/>
      <c r="M1002" s="1510"/>
      <c r="N1002" s="1511"/>
      <c r="O1002" s="1507"/>
      <c r="P1002" s="1507"/>
    </row>
    <row r="1003" spans="3:16" x14ac:dyDescent="0.2">
      <c r="C1003" s="160"/>
      <c r="D1003" s="160"/>
      <c r="E1003" s="160"/>
      <c r="F1003" s="160"/>
      <c r="G1003" s="160"/>
      <c r="H1003" s="160"/>
      <c r="I1003" s="160"/>
      <c r="J1003" s="160"/>
      <c r="K1003" s="160"/>
      <c r="L1003" s="160"/>
      <c r="M1003" s="1510"/>
      <c r="N1003" s="1511"/>
      <c r="O1003" s="1507"/>
      <c r="P1003" s="1507"/>
    </row>
    <row r="1004" spans="3:16" x14ac:dyDescent="0.2">
      <c r="C1004" s="160"/>
      <c r="D1004" s="160"/>
      <c r="E1004" s="160"/>
      <c r="F1004" s="160"/>
      <c r="G1004" s="160"/>
      <c r="H1004" s="160"/>
      <c r="I1004" s="160"/>
      <c r="J1004" s="160"/>
      <c r="K1004" s="160"/>
      <c r="L1004" s="160"/>
      <c r="M1004" s="1510"/>
      <c r="N1004" s="1511"/>
      <c r="O1004" s="1507"/>
      <c r="P1004" s="1507"/>
    </row>
    <row r="1005" spans="3:16" x14ac:dyDescent="0.2">
      <c r="C1005" s="160"/>
      <c r="D1005" s="160"/>
      <c r="E1005" s="160"/>
      <c r="F1005" s="160"/>
      <c r="G1005" s="160"/>
      <c r="H1005" s="160"/>
      <c r="I1005" s="160"/>
      <c r="J1005" s="160"/>
      <c r="K1005" s="160"/>
      <c r="L1005" s="160"/>
      <c r="M1005" s="1510"/>
      <c r="N1005" s="1511"/>
      <c r="O1005" s="1507"/>
      <c r="P1005" s="1507"/>
    </row>
    <row r="1006" spans="3:16" x14ac:dyDescent="0.2">
      <c r="C1006" s="160"/>
      <c r="D1006" s="160"/>
      <c r="E1006" s="160"/>
      <c r="F1006" s="160"/>
      <c r="G1006" s="160"/>
      <c r="H1006" s="160"/>
      <c r="I1006" s="160"/>
      <c r="J1006" s="160"/>
      <c r="K1006" s="160"/>
      <c r="L1006" s="160"/>
      <c r="M1006" s="1510"/>
      <c r="N1006" s="1511"/>
      <c r="O1006" s="1507"/>
      <c r="P1006" s="1507"/>
    </row>
    <row r="1007" spans="3:16" x14ac:dyDescent="0.2">
      <c r="C1007" s="160"/>
      <c r="D1007" s="160"/>
      <c r="E1007" s="160"/>
      <c r="F1007" s="160"/>
      <c r="G1007" s="160"/>
      <c r="H1007" s="160"/>
      <c r="I1007" s="160"/>
      <c r="J1007" s="160"/>
      <c r="K1007" s="160"/>
      <c r="L1007" s="160"/>
      <c r="M1007" s="1510"/>
      <c r="N1007" s="1511"/>
      <c r="O1007" s="1507"/>
      <c r="P1007" s="1507"/>
    </row>
    <row r="1008" spans="3:16" x14ac:dyDescent="0.2">
      <c r="C1008" s="160"/>
      <c r="D1008" s="160"/>
      <c r="E1008" s="160"/>
      <c r="F1008" s="160"/>
      <c r="G1008" s="160"/>
      <c r="H1008" s="160"/>
      <c r="I1008" s="160"/>
      <c r="J1008" s="160"/>
      <c r="K1008" s="160"/>
      <c r="L1008" s="160"/>
      <c r="M1008" s="1510"/>
      <c r="N1008" s="1511"/>
      <c r="O1008" s="1507"/>
      <c r="P1008" s="1507"/>
    </row>
    <row r="1009" spans="3:16" x14ac:dyDescent="0.2">
      <c r="C1009" s="160"/>
      <c r="D1009" s="160"/>
      <c r="E1009" s="160"/>
      <c r="F1009" s="160"/>
      <c r="G1009" s="160"/>
      <c r="H1009" s="160"/>
      <c r="I1009" s="160"/>
      <c r="J1009" s="160"/>
      <c r="K1009" s="160"/>
      <c r="L1009" s="160"/>
      <c r="M1009" s="1510"/>
      <c r="N1009" s="1511"/>
      <c r="O1009" s="1507"/>
      <c r="P1009" s="1507"/>
    </row>
    <row r="1010" spans="3:16" x14ac:dyDescent="0.2">
      <c r="C1010" s="160"/>
      <c r="D1010" s="160"/>
      <c r="E1010" s="160"/>
      <c r="F1010" s="160"/>
      <c r="G1010" s="160"/>
      <c r="H1010" s="160"/>
      <c r="I1010" s="160"/>
      <c r="J1010" s="160"/>
      <c r="K1010" s="160"/>
      <c r="L1010" s="160"/>
      <c r="M1010" s="1510"/>
      <c r="N1010" s="1511"/>
      <c r="O1010" s="1507"/>
      <c r="P1010" s="1507"/>
    </row>
    <row r="1011" spans="3:16" x14ac:dyDescent="0.2">
      <c r="C1011" s="160"/>
      <c r="D1011" s="160"/>
      <c r="E1011" s="160"/>
      <c r="F1011" s="160"/>
      <c r="G1011" s="160"/>
      <c r="H1011" s="160"/>
      <c r="I1011" s="160"/>
      <c r="J1011" s="160"/>
      <c r="K1011" s="160"/>
      <c r="L1011" s="160"/>
      <c r="M1011" s="1510"/>
      <c r="N1011" s="1511"/>
      <c r="O1011" s="1507"/>
      <c r="P1011" s="1507"/>
    </row>
    <row r="1012" spans="3:16" x14ac:dyDescent="0.2">
      <c r="C1012" s="160"/>
      <c r="D1012" s="160"/>
      <c r="E1012" s="160"/>
      <c r="F1012" s="160"/>
      <c r="G1012" s="160"/>
      <c r="H1012" s="160"/>
      <c r="I1012" s="160"/>
      <c r="J1012" s="160"/>
      <c r="K1012" s="160"/>
      <c r="L1012" s="160"/>
      <c r="M1012" s="1510"/>
      <c r="N1012" s="1511"/>
      <c r="O1012" s="1507"/>
      <c r="P1012" s="1507"/>
    </row>
    <row r="1013" spans="3:16" x14ac:dyDescent="0.2">
      <c r="C1013" s="160"/>
      <c r="D1013" s="160"/>
      <c r="E1013" s="160"/>
      <c r="F1013" s="160"/>
      <c r="G1013" s="160"/>
      <c r="H1013" s="160"/>
      <c r="I1013" s="160"/>
      <c r="J1013" s="160"/>
      <c r="K1013" s="160"/>
      <c r="L1013" s="160"/>
      <c r="M1013" s="1510"/>
      <c r="N1013" s="1511"/>
      <c r="O1013" s="1507"/>
      <c r="P1013" s="1507"/>
    </row>
    <row r="1014" spans="3:16" x14ac:dyDescent="0.2">
      <c r="C1014" s="160"/>
      <c r="D1014" s="160"/>
      <c r="E1014" s="160"/>
      <c r="F1014" s="160"/>
      <c r="G1014" s="160"/>
      <c r="H1014" s="160"/>
      <c r="I1014" s="160"/>
      <c r="J1014" s="160"/>
      <c r="K1014" s="160"/>
      <c r="L1014" s="160"/>
      <c r="M1014" s="1510"/>
      <c r="N1014" s="1511"/>
      <c r="O1014" s="1507"/>
      <c r="P1014" s="1507"/>
    </row>
    <row r="1015" spans="3:16" x14ac:dyDescent="0.2">
      <c r="C1015" s="160"/>
      <c r="D1015" s="160"/>
      <c r="E1015" s="160"/>
      <c r="F1015" s="160"/>
      <c r="G1015" s="160"/>
      <c r="H1015" s="160"/>
      <c r="I1015" s="160"/>
      <c r="J1015" s="160"/>
      <c r="K1015" s="160"/>
      <c r="L1015" s="160"/>
      <c r="M1015" s="1510"/>
      <c r="N1015" s="1511"/>
      <c r="O1015" s="1507"/>
      <c r="P1015" s="1507"/>
    </row>
    <row r="1016" spans="3:16" x14ac:dyDescent="0.2">
      <c r="C1016" s="160"/>
      <c r="D1016" s="160"/>
      <c r="E1016" s="160"/>
      <c r="F1016" s="160"/>
      <c r="G1016" s="160"/>
      <c r="H1016" s="160"/>
      <c r="I1016" s="160"/>
      <c r="J1016" s="160"/>
      <c r="K1016" s="160"/>
      <c r="L1016" s="160"/>
      <c r="M1016" s="1510"/>
      <c r="N1016" s="1511"/>
      <c r="O1016" s="1507"/>
      <c r="P1016" s="1507"/>
    </row>
    <row r="1017" spans="3:16" x14ac:dyDescent="0.2">
      <c r="C1017" s="160"/>
      <c r="D1017" s="160"/>
      <c r="E1017" s="160"/>
      <c r="F1017" s="160"/>
      <c r="G1017" s="160"/>
      <c r="H1017" s="160"/>
      <c r="I1017" s="160"/>
      <c r="J1017" s="160"/>
      <c r="K1017" s="160"/>
      <c r="L1017" s="160"/>
      <c r="M1017" s="1510"/>
      <c r="N1017" s="1511"/>
      <c r="O1017" s="1507"/>
      <c r="P1017" s="1507"/>
    </row>
    <row r="1018" spans="3:16" x14ac:dyDescent="0.2">
      <c r="C1018" s="160"/>
      <c r="D1018" s="160"/>
      <c r="E1018" s="160"/>
      <c r="F1018" s="160"/>
      <c r="G1018" s="160"/>
      <c r="H1018" s="160"/>
      <c r="I1018" s="160"/>
      <c r="J1018" s="160"/>
      <c r="K1018" s="160"/>
      <c r="L1018" s="160"/>
      <c r="M1018" s="1510"/>
      <c r="N1018" s="1511"/>
      <c r="O1018" s="1507"/>
      <c r="P1018" s="1507"/>
    </row>
    <row r="1019" spans="3:16" x14ac:dyDescent="0.2">
      <c r="C1019" s="160"/>
      <c r="D1019" s="160"/>
      <c r="E1019" s="160"/>
      <c r="F1019" s="160"/>
      <c r="G1019" s="160"/>
      <c r="H1019" s="160"/>
      <c r="I1019" s="160"/>
      <c r="J1019" s="160"/>
      <c r="K1019" s="160"/>
      <c r="L1019" s="160"/>
      <c r="M1019" s="1510"/>
      <c r="N1019" s="1511"/>
      <c r="O1019" s="1507"/>
      <c r="P1019" s="1507"/>
    </row>
    <row r="1020" spans="3:16" x14ac:dyDescent="0.2">
      <c r="C1020" s="160"/>
      <c r="D1020" s="160"/>
      <c r="E1020" s="160"/>
      <c r="F1020" s="160"/>
      <c r="G1020" s="160"/>
      <c r="H1020" s="160"/>
      <c r="I1020" s="160"/>
      <c r="J1020" s="160"/>
      <c r="K1020" s="160"/>
      <c r="L1020" s="160"/>
      <c r="M1020" s="1510"/>
      <c r="N1020" s="1511"/>
      <c r="O1020" s="1507"/>
      <c r="P1020" s="1507"/>
    </row>
    <row r="1021" spans="3:16" x14ac:dyDescent="0.2">
      <c r="C1021" s="160"/>
      <c r="D1021" s="160"/>
      <c r="E1021" s="160"/>
      <c r="F1021" s="160"/>
      <c r="G1021" s="160"/>
      <c r="H1021" s="160"/>
      <c r="I1021" s="160"/>
      <c r="J1021" s="160"/>
      <c r="K1021" s="160"/>
      <c r="L1021" s="160"/>
      <c r="M1021" s="1510"/>
      <c r="N1021" s="1511"/>
      <c r="O1021" s="1507"/>
      <c r="P1021" s="1507"/>
    </row>
    <row r="1022" spans="3:16" x14ac:dyDescent="0.2">
      <c r="C1022" s="160"/>
      <c r="D1022" s="160"/>
      <c r="E1022" s="160"/>
      <c r="F1022" s="160"/>
      <c r="G1022" s="160"/>
      <c r="H1022" s="160"/>
      <c r="I1022" s="160"/>
      <c r="J1022" s="160"/>
      <c r="K1022" s="160"/>
      <c r="L1022" s="160"/>
      <c r="M1022" s="1510"/>
      <c r="N1022" s="1511"/>
      <c r="O1022" s="1507"/>
      <c r="P1022" s="1507"/>
    </row>
    <row r="1023" spans="3:16" x14ac:dyDescent="0.2">
      <c r="C1023" s="160"/>
      <c r="D1023" s="160"/>
      <c r="E1023" s="160"/>
      <c r="F1023" s="160"/>
      <c r="G1023" s="160"/>
      <c r="H1023" s="160"/>
      <c r="I1023" s="160"/>
      <c r="J1023" s="160"/>
      <c r="K1023" s="160"/>
      <c r="L1023" s="160"/>
      <c r="M1023" s="1510"/>
      <c r="N1023" s="1511"/>
      <c r="O1023" s="1507"/>
      <c r="P1023" s="1507"/>
    </row>
    <row r="1024" spans="3:16" x14ac:dyDescent="0.2">
      <c r="C1024" s="160"/>
      <c r="D1024" s="160"/>
      <c r="E1024" s="160"/>
      <c r="F1024" s="160"/>
      <c r="G1024" s="160"/>
      <c r="H1024" s="160"/>
      <c r="I1024" s="160"/>
      <c r="J1024" s="160"/>
      <c r="K1024" s="160"/>
      <c r="L1024" s="160"/>
      <c r="M1024" s="1510"/>
      <c r="N1024" s="1511"/>
      <c r="O1024" s="1507"/>
      <c r="P1024" s="1507"/>
    </row>
    <row r="1025" spans="3:16" x14ac:dyDescent="0.2">
      <c r="C1025" s="160"/>
      <c r="D1025" s="160"/>
      <c r="E1025" s="160"/>
      <c r="F1025" s="160"/>
      <c r="G1025" s="160"/>
      <c r="H1025" s="160"/>
      <c r="I1025" s="160"/>
      <c r="J1025" s="160"/>
      <c r="K1025" s="160"/>
      <c r="L1025" s="160"/>
      <c r="M1025" s="1510"/>
      <c r="N1025" s="1511"/>
      <c r="O1025" s="1507"/>
      <c r="P1025" s="1507"/>
    </row>
    <row r="1026" spans="3:16" x14ac:dyDescent="0.2">
      <c r="C1026" s="160"/>
      <c r="D1026" s="160"/>
      <c r="E1026" s="160"/>
      <c r="F1026" s="160"/>
      <c r="G1026" s="160"/>
      <c r="H1026" s="160"/>
      <c r="I1026" s="160"/>
      <c r="J1026" s="160"/>
      <c r="K1026" s="160"/>
      <c r="L1026" s="160"/>
      <c r="M1026" s="1510"/>
      <c r="N1026" s="1511"/>
      <c r="O1026" s="1507"/>
      <c r="P1026" s="1507"/>
    </row>
    <row r="1027" spans="3:16" x14ac:dyDescent="0.2">
      <c r="C1027" s="160"/>
      <c r="D1027" s="160"/>
      <c r="E1027" s="160"/>
      <c r="F1027" s="160"/>
      <c r="G1027" s="160"/>
      <c r="H1027" s="160"/>
      <c r="I1027" s="160"/>
      <c r="J1027" s="160"/>
      <c r="K1027" s="160"/>
      <c r="L1027" s="160"/>
      <c r="M1027" s="1510"/>
      <c r="N1027" s="1511"/>
      <c r="O1027" s="1507"/>
      <c r="P1027" s="1507"/>
    </row>
    <row r="1028" spans="3:16" x14ac:dyDescent="0.2">
      <c r="C1028" s="160"/>
      <c r="D1028" s="160"/>
      <c r="E1028" s="160"/>
      <c r="F1028" s="160"/>
      <c r="G1028" s="160"/>
      <c r="H1028" s="160"/>
      <c r="I1028" s="160"/>
      <c r="J1028" s="160"/>
      <c r="K1028" s="160"/>
      <c r="L1028" s="160"/>
      <c r="M1028" s="1510"/>
      <c r="N1028" s="1511"/>
      <c r="O1028" s="1507"/>
      <c r="P1028" s="1507"/>
    </row>
    <row r="1029" spans="3:16" x14ac:dyDescent="0.2">
      <c r="C1029" s="160"/>
      <c r="D1029" s="160"/>
      <c r="E1029" s="160"/>
      <c r="F1029" s="160"/>
      <c r="G1029" s="160"/>
      <c r="H1029" s="160"/>
      <c r="I1029" s="160"/>
      <c r="J1029" s="160"/>
      <c r="K1029" s="160"/>
      <c r="L1029" s="160"/>
      <c r="M1029" s="1510"/>
      <c r="N1029" s="1511"/>
      <c r="O1029" s="1507"/>
      <c r="P1029" s="1507"/>
    </row>
    <row r="1030" spans="3:16" x14ac:dyDescent="0.2">
      <c r="C1030" s="160"/>
      <c r="D1030" s="160"/>
      <c r="E1030" s="160"/>
      <c r="F1030" s="160"/>
      <c r="G1030" s="160"/>
      <c r="H1030" s="160"/>
      <c r="I1030" s="160"/>
      <c r="J1030" s="160"/>
      <c r="K1030" s="160"/>
      <c r="L1030" s="160"/>
      <c r="M1030" s="1510"/>
      <c r="N1030" s="1511"/>
      <c r="O1030" s="1507"/>
      <c r="P1030" s="1507"/>
    </row>
    <row r="1031" spans="3:16" x14ac:dyDescent="0.2">
      <c r="C1031" s="160"/>
      <c r="D1031" s="160"/>
      <c r="E1031" s="160"/>
      <c r="F1031" s="160"/>
      <c r="G1031" s="160"/>
      <c r="H1031" s="160"/>
      <c r="I1031" s="160"/>
      <c r="J1031" s="160"/>
      <c r="K1031" s="160"/>
      <c r="L1031" s="160"/>
      <c r="M1031" s="1510"/>
      <c r="N1031" s="1511"/>
      <c r="O1031" s="1507"/>
      <c r="P1031" s="1507"/>
    </row>
    <row r="1032" spans="3:16" x14ac:dyDescent="0.2"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510"/>
      <c r="N1032" s="1511"/>
      <c r="O1032" s="1507"/>
      <c r="P1032" s="1507"/>
    </row>
    <row r="1033" spans="3:16" x14ac:dyDescent="0.2">
      <c r="C1033" s="160"/>
      <c r="D1033" s="160"/>
      <c r="E1033" s="160"/>
      <c r="F1033" s="160"/>
      <c r="G1033" s="160"/>
      <c r="H1033" s="160"/>
      <c r="I1033" s="160"/>
      <c r="J1033" s="160"/>
      <c r="K1033" s="160"/>
      <c r="L1033" s="160"/>
      <c r="M1033" s="1510"/>
      <c r="N1033" s="1511"/>
      <c r="O1033" s="1507"/>
      <c r="P1033" s="1507"/>
    </row>
    <row r="1034" spans="3:16" x14ac:dyDescent="0.2">
      <c r="C1034" s="160"/>
      <c r="D1034" s="160"/>
      <c r="E1034" s="160"/>
      <c r="F1034" s="160"/>
      <c r="G1034" s="160"/>
      <c r="H1034" s="160"/>
      <c r="I1034" s="160"/>
      <c r="J1034" s="160"/>
      <c r="K1034" s="160"/>
      <c r="L1034" s="160"/>
      <c r="M1034" s="1510"/>
      <c r="N1034" s="1511"/>
      <c r="O1034" s="1507"/>
      <c r="P1034" s="1507"/>
    </row>
    <row r="1035" spans="3:16" x14ac:dyDescent="0.2">
      <c r="C1035" s="160"/>
      <c r="D1035" s="160"/>
      <c r="E1035" s="160"/>
      <c r="F1035" s="160"/>
      <c r="G1035" s="160"/>
      <c r="H1035" s="160"/>
      <c r="I1035" s="160"/>
      <c r="J1035" s="160"/>
      <c r="K1035" s="160"/>
      <c r="L1035" s="160"/>
      <c r="M1035" s="1510"/>
      <c r="N1035" s="1511"/>
      <c r="O1035" s="1507"/>
      <c r="P1035" s="1507"/>
    </row>
    <row r="1036" spans="3:16" x14ac:dyDescent="0.2">
      <c r="C1036" s="160"/>
      <c r="D1036" s="160"/>
      <c r="E1036" s="160"/>
      <c r="F1036" s="160"/>
      <c r="G1036" s="160"/>
      <c r="H1036" s="160"/>
      <c r="I1036" s="160"/>
      <c r="J1036" s="160"/>
      <c r="K1036" s="160"/>
      <c r="L1036" s="160"/>
      <c r="M1036" s="1510"/>
      <c r="N1036" s="1511"/>
      <c r="O1036" s="1507"/>
      <c r="P1036" s="1507"/>
    </row>
    <row r="1037" spans="3:16" x14ac:dyDescent="0.2">
      <c r="C1037" s="160"/>
      <c r="D1037" s="160"/>
      <c r="E1037" s="160"/>
      <c r="F1037" s="160"/>
      <c r="G1037" s="160"/>
      <c r="H1037" s="160"/>
      <c r="I1037" s="160"/>
      <c r="J1037" s="160"/>
      <c r="K1037" s="160"/>
      <c r="L1037" s="160"/>
      <c r="M1037" s="1510"/>
      <c r="N1037" s="1511"/>
      <c r="O1037" s="1507"/>
      <c r="P1037" s="1507"/>
    </row>
    <row r="1038" spans="3:16" x14ac:dyDescent="0.2">
      <c r="C1038" s="160"/>
      <c r="D1038" s="160"/>
      <c r="E1038" s="160"/>
      <c r="F1038" s="160"/>
      <c r="G1038" s="160"/>
      <c r="H1038" s="160"/>
      <c r="I1038" s="160"/>
      <c r="J1038" s="160"/>
      <c r="K1038" s="160"/>
      <c r="L1038" s="160"/>
      <c r="M1038" s="1510"/>
      <c r="N1038" s="1511"/>
      <c r="O1038" s="1507"/>
      <c r="P1038" s="1507"/>
    </row>
    <row r="1039" spans="3:16" x14ac:dyDescent="0.2">
      <c r="C1039" s="160"/>
      <c r="D1039" s="160"/>
      <c r="E1039" s="160"/>
      <c r="F1039" s="160"/>
      <c r="G1039" s="160"/>
      <c r="H1039" s="160"/>
      <c r="I1039" s="160"/>
      <c r="J1039" s="160"/>
      <c r="K1039" s="160"/>
      <c r="L1039" s="160"/>
      <c r="M1039" s="1510"/>
      <c r="N1039" s="1511"/>
      <c r="O1039" s="1507"/>
      <c r="P1039" s="1507"/>
    </row>
    <row r="1040" spans="3:16" x14ac:dyDescent="0.2">
      <c r="C1040" s="160"/>
      <c r="D1040" s="160"/>
      <c r="E1040" s="160"/>
      <c r="F1040" s="160"/>
      <c r="G1040" s="160"/>
      <c r="H1040" s="160"/>
      <c r="I1040" s="160"/>
      <c r="J1040" s="160"/>
      <c r="K1040" s="160"/>
      <c r="L1040" s="160"/>
      <c r="M1040" s="1510"/>
      <c r="N1040" s="1511"/>
      <c r="O1040" s="1507"/>
      <c r="P1040" s="1507"/>
    </row>
    <row r="1041" spans="3:16" x14ac:dyDescent="0.2">
      <c r="C1041" s="160"/>
      <c r="D1041" s="160"/>
      <c r="E1041" s="160"/>
      <c r="F1041" s="160"/>
      <c r="G1041" s="160"/>
      <c r="H1041" s="160"/>
      <c r="I1041" s="160"/>
      <c r="J1041" s="160"/>
      <c r="K1041" s="160"/>
      <c r="L1041" s="160"/>
      <c r="M1041" s="1510"/>
      <c r="N1041" s="1511"/>
      <c r="O1041" s="1507"/>
      <c r="P1041" s="1507"/>
    </row>
    <row r="1042" spans="3:16" x14ac:dyDescent="0.2">
      <c r="C1042" s="160"/>
      <c r="D1042" s="160"/>
      <c r="E1042" s="160"/>
      <c r="F1042" s="160"/>
      <c r="G1042" s="160"/>
      <c r="H1042" s="160"/>
      <c r="I1042" s="160"/>
      <c r="J1042" s="160"/>
      <c r="K1042" s="160"/>
      <c r="L1042" s="160"/>
      <c r="M1042" s="1510"/>
      <c r="N1042" s="1511"/>
      <c r="O1042" s="1507"/>
      <c r="P1042" s="1507"/>
    </row>
    <row r="1043" spans="3:16" x14ac:dyDescent="0.2">
      <c r="C1043" s="160"/>
      <c r="D1043" s="160"/>
      <c r="E1043" s="160"/>
      <c r="F1043" s="160"/>
      <c r="G1043" s="160"/>
      <c r="H1043" s="160"/>
      <c r="I1043" s="160"/>
      <c r="J1043" s="160"/>
      <c r="K1043" s="160"/>
      <c r="L1043" s="160"/>
      <c r="M1043" s="1510"/>
      <c r="N1043" s="1511"/>
      <c r="O1043" s="1507"/>
      <c r="P1043" s="1507"/>
    </row>
    <row r="1044" spans="3:16" x14ac:dyDescent="0.2">
      <c r="C1044" s="160"/>
      <c r="D1044" s="160"/>
      <c r="E1044" s="160"/>
      <c r="F1044" s="160"/>
      <c r="G1044" s="160"/>
      <c r="H1044" s="160"/>
      <c r="I1044" s="160"/>
      <c r="J1044" s="160"/>
      <c r="K1044" s="160"/>
      <c r="L1044" s="160"/>
      <c r="M1044" s="1510"/>
      <c r="N1044" s="1511"/>
      <c r="O1044" s="1507"/>
      <c r="P1044" s="1507"/>
    </row>
    <row r="1045" spans="3:16" x14ac:dyDescent="0.2">
      <c r="C1045" s="160"/>
      <c r="D1045" s="160"/>
      <c r="E1045" s="160"/>
      <c r="F1045" s="160"/>
      <c r="G1045" s="160"/>
      <c r="H1045" s="160"/>
      <c r="I1045" s="160"/>
      <c r="J1045" s="160"/>
      <c r="K1045" s="160"/>
      <c r="L1045" s="160"/>
      <c r="M1045" s="1510"/>
      <c r="N1045" s="1511"/>
      <c r="O1045" s="1507"/>
      <c r="P1045" s="1507"/>
    </row>
    <row r="1046" spans="3:16" x14ac:dyDescent="0.2">
      <c r="C1046" s="160"/>
      <c r="D1046" s="160"/>
      <c r="E1046" s="160"/>
      <c r="F1046" s="160"/>
      <c r="G1046" s="160"/>
      <c r="H1046" s="160"/>
      <c r="I1046" s="160"/>
      <c r="J1046" s="160"/>
      <c r="K1046" s="160"/>
      <c r="L1046" s="160"/>
      <c r="M1046" s="1510"/>
      <c r="N1046" s="1511"/>
      <c r="O1046" s="1507"/>
      <c r="P1046" s="1507"/>
    </row>
    <row r="1047" spans="3:16" x14ac:dyDescent="0.2">
      <c r="C1047" s="160"/>
      <c r="D1047" s="160"/>
      <c r="E1047" s="160"/>
      <c r="F1047" s="160"/>
      <c r="G1047" s="160"/>
      <c r="H1047" s="160"/>
      <c r="I1047" s="160"/>
      <c r="J1047" s="160"/>
      <c r="K1047" s="160"/>
      <c r="L1047" s="160"/>
      <c r="M1047" s="1510"/>
      <c r="N1047" s="1511"/>
      <c r="O1047" s="1507"/>
      <c r="P1047" s="1507"/>
    </row>
    <row r="1048" spans="3:16" x14ac:dyDescent="0.2">
      <c r="C1048" s="160"/>
      <c r="D1048" s="160"/>
      <c r="E1048" s="160"/>
      <c r="F1048" s="160"/>
      <c r="G1048" s="160"/>
      <c r="H1048" s="160"/>
      <c r="I1048" s="160"/>
      <c r="J1048" s="160"/>
      <c r="K1048" s="160"/>
      <c r="L1048" s="160"/>
      <c r="M1048" s="1510"/>
      <c r="N1048" s="1511"/>
      <c r="O1048" s="1507"/>
      <c r="P1048" s="1507"/>
    </row>
    <row r="1049" spans="3:16" x14ac:dyDescent="0.2">
      <c r="C1049" s="160"/>
      <c r="D1049" s="160"/>
      <c r="E1049" s="160"/>
      <c r="F1049" s="160"/>
      <c r="G1049" s="160"/>
      <c r="H1049" s="160"/>
      <c r="I1049" s="160"/>
      <c r="J1049" s="160"/>
      <c r="K1049" s="160"/>
      <c r="L1049" s="160"/>
      <c r="M1049" s="1510"/>
      <c r="N1049" s="1511"/>
      <c r="O1049" s="1507"/>
      <c r="P1049" s="1507"/>
    </row>
    <row r="1050" spans="3:16" x14ac:dyDescent="0.2">
      <c r="C1050" s="160"/>
      <c r="D1050" s="160"/>
      <c r="E1050" s="160"/>
      <c r="F1050" s="160"/>
      <c r="G1050" s="160"/>
      <c r="H1050" s="160"/>
      <c r="I1050" s="160"/>
      <c r="J1050" s="160"/>
      <c r="K1050" s="160"/>
      <c r="L1050" s="160"/>
      <c r="M1050" s="1510"/>
      <c r="N1050" s="1511"/>
      <c r="O1050" s="1507"/>
      <c r="P1050" s="1507"/>
    </row>
    <row r="1051" spans="3:16" x14ac:dyDescent="0.2">
      <c r="C1051" s="160"/>
      <c r="D1051" s="160"/>
      <c r="E1051" s="160"/>
      <c r="F1051" s="160"/>
      <c r="G1051" s="160"/>
      <c r="H1051" s="160"/>
      <c r="I1051" s="160"/>
      <c r="J1051" s="160"/>
      <c r="K1051" s="160"/>
      <c r="L1051" s="160"/>
      <c r="M1051" s="1510"/>
      <c r="N1051" s="1511"/>
      <c r="O1051" s="1507"/>
      <c r="P1051" s="1507"/>
    </row>
    <row r="1052" spans="3:16" x14ac:dyDescent="0.2">
      <c r="C1052" s="160"/>
      <c r="D1052" s="160"/>
      <c r="E1052" s="160"/>
      <c r="F1052" s="160"/>
      <c r="G1052" s="160"/>
      <c r="H1052" s="160"/>
      <c r="I1052" s="160"/>
      <c r="J1052" s="160"/>
      <c r="K1052" s="160"/>
      <c r="L1052" s="160"/>
      <c r="M1052" s="1510"/>
      <c r="N1052" s="1511"/>
      <c r="O1052" s="1507"/>
      <c r="P1052" s="1507"/>
    </row>
    <row r="1053" spans="3:16" x14ac:dyDescent="0.2">
      <c r="C1053" s="160"/>
      <c r="D1053" s="160"/>
      <c r="E1053" s="160"/>
      <c r="F1053" s="160"/>
      <c r="G1053" s="160"/>
      <c r="H1053" s="160"/>
      <c r="I1053" s="160"/>
      <c r="J1053" s="160"/>
      <c r="K1053" s="160"/>
      <c r="L1053" s="160"/>
      <c r="M1053" s="1510"/>
      <c r="N1053" s="1511"/>
      <c r="O1053" s="1507"/>
      <c r="P1053" s="1507"/>
    </row>
    <row r="1054" spans="3:16" x14ac:dyDescent="0.2">
      <c r="C1054" s="160"/>
      <c r="D1054" s="160"/>
      <c r="E1054" s="160"/>
      <c r="F1054" s="160"/>
      <c r="G1054" s="160"/>
      <c r="H1054" s="160"/>
      <c r="I1054" s="160"/>
      <c r="J1054" s="160"/>
      <c r="K1054" s="160"/>
      <c r="L1054" s="160"/>
      <c r="M1054" s="1510"/>
      <c r="N1054" s="1511"/>
      <c r="O1054" s="1507"/>
      <c r="P1054" s="1507"/>
    </row>
    <row r="1055" spans="3:16" x14ac:dyDescent="0.2">
      <c r="C1055" s="160"/>
      <c r="D1055" s="160"/>
      <c r="E1055" s="160"/>
      <c r="F1055" s="160"/>
      <c r="G1055" s="160"/>
      <c r="H1055" s="160"/>
      <c r="I1055" s="160"/>
      <c r="J1055" s="160"/>
      <c r="K1055" s="160"/>
      <c r="L1055" s="160"/>
      <c r="M1055" s="1510"/>
      <c r="N1055" s="1511"/>
      <c r="O1055" s="1507"/>
      <c r="P1055" s="1507"/>
    </row>
    <row r="1056" spans="3:16" x14ac:dyDescent="0.2">
      <c r="C1056" s="160"/>
      <c r="D1056" s="160"/>
      <c r="E1056" s="160"/>
      <c r="F1056" s="160"/>
      <c r="G1056" s="160"/>
      <c r="H1056" s="160"/>
      <c r="I1056" s="160"/>
      <c r="J1056" s="160"/>
      <c r="K1056" s="160"/>
      <c r="L1056" s="160"/>
      <c r="M1056" s="1510"/>
      <c r="N1056" s="1511"/>
      <c r="O1056" s="1507"/>
      <c r="P1056" s="1507"/>
    </row>
    <row r="1057" spans="3:16" x14ac:dyDescent="0.2">
      <c r="C1057" s="160"/>
      <c r="D1057" s="160"/>
      <c r="E1057" s="160"/>
      <c r="F1057" s="160"/>
      <c r="G1057" s="160"/>
      <c r="H1057" s="160"/>
      <c r="I1057" s="160"/>
      <c r="J1057" s="160"/>
      <c r="K1057" s="160"/>
      <c r="L1057" s="160"/>
      <c r="M1057" s="1510"/>
      <c r="N1057" s="1511"/>
      <c r="O1057" s="1507"/>
      <c r="P1057" s="1507"/>
    </row>
    <row r="1058" spans="3:16" x14ac:dyDescent="0.2">
      <c r="C1058" s="160"/>
      <c r="D1058" s="160"/>
      <c r="E1058" s="160"/>
      <c r="F1058" s="160"/>
      <c r="G1058" s="160"/>
      <c r="H1058" s="160"/>
      <c r="I1058" s="160"/>
      <c r="J1058" s="160"/>
      <c r="K1058" s="160"/>
      <c r="L1058" s="160"/>
      <c r="M1058" s="1510"/>
      <c r="N1058" s="1511"/>
      <c r="O1058" s="1507"/>
      <c r="P1058" s="1507"/>
    </row>
    <row r="1059" spans="3:16" x14ac:dyDescent="0.2">
      <c r="C1059" s="160"/>
      <c r="D1059" s="160"/>
      <c r="E1059" s="160"/>
      <c r="F1059" s="160"/>
      <c r="G1059" s="160"/>
      <c r="H1059" s="160"/>
      <c r="I1059" s="160"/>
      <c r="J1059" s="160"/>
      <c r="K1059" s="160"/>
      <c r="L1059" s="160"/>
      <c r="M1059" s="1510"/>
      <c r="N1059" s="1511"/>
      <c r="O1059" s="1507"/>
      <c r="P1059" s="1507"/>
    </row>
    <row r="1060" spans="3:16" x14ac:dyDescent="0.2">
      <c r="C1060" s="160"/>
      <c r="D1060" s="160"/>
      <c r="E1060" s="160"/>
      <c r="F1060" s="160"/>
      <c r="G1060" s="160"/>
      <c r="H1060" s="160"/>
      <c r="I1060" s="160"/>
      <c r="J1060" s="160"/>
      <c r="K1060" s="160"/>
      <c r="L1060" s="160"/>
      <c r="M1060" s="1510"/>
      <c r="N1060" s="1511"/>
      <c r="O1060" s="1507"/>
      <c r="P1060" s="1507"/>
    </row>
    <row r="1061" spans="3:16" x14ac:dyDescent="0.2">
      <c r="C1061" s="160"/>
      <c r="D1061" s="160"/>
      <c r="E1061" s="160"/>
      <c r="F1061" s="160"/>
      <c r="G1061" s="160"/>
      <c r="H1061" s="160"/>
      <c r="I1061" s="160"/>
      <c r="J1061" s="160"/>
      <c r="K1061" s="160"/>
      <c r="L1061" s="160"/>
      <c r="M1061" s="1510"/>
      <c r="N1061" s="1511"/>
      <c r="O1061" s="1507"/>
      <c r="P1061" s="1507"/>
    </row>
    <row r="1062" spans="3:16" x14ac:dyDescent="0.2">
      <c r="C1062" s="160"/>
      <c r="D1062" s="160"/>
      <c r="E1062" s="160"/>
      <c r="F1062" s="160"/>
      <c r="G1062" s="160"/>
      <c r="H1062" s="160"/>
      <c r="I1062" s="160"/>
      <c r="J1062" s="160"/>
      <c r="K1062" s="160"/>
      <c r="L1062" s="160"/>
      <c r="M1062" s="1510"/>
      <c r="N1062" s="1511"/>
      <c r="O1062" s="1507"/>
      <c r="P1062" s="1507"/>
    </row>
    <row r="1063" spans="3:16" x14ac:dyDescent="0.2">
      <c r="C1063" s="160"/>
      <c r="D1063" s="160"/>
      <c r="E1063" s="160"/>
      <c r="F1063" s="160"/>
      <c r="G1063" s="160"/>
      <c r="H1063" s="160"/>
      <c r="I1063" s="160"/>
      <c r="J1063" s="160"/>
      <c r="K1063" s="160"/>
      <c r="L1063" s="160"/>
      <c r="M1063" s="1510"/>
      <c r="N1063" s="1511"/>
      <c r="O1063" s="1507"/>
      <c r="P1063" s="1507"/>
    </row>
    <row r="1064" spans="3:16" x14ac:dyDescent="0.2">
      <c r="C1064" s="160"/>
      <c r="D1064" s="160"/>
      <c r="E1064" s="160"/>
      <c r="F1064" s="160"/>
      <c r="G1064" s="160"/>
      <c r="H1064" s="160"/>
      <c r="I1064" s="160"/>
      <c r="J1064" s="160"/>
      <c r="K1064" s="160"/>
      <c r="L1064" s="160"/>
      <c r="M1064" s="1510"/>
      <c r="N1064" s="1511"/>
      <c r="O1064" s="1507"/>
      <c r="P1064" s="1507"/>
    </row>
    <row r="1065" spans="3:16" x14ac:dyDescent="0.2">
      <c r="C1065" s="160"/>
      <c r="D1065" s="160"/>
      <c r="E1065" s="160"/>
      <c r="F1065" s="160"/>
      <c r="G1065" s="160"/>
      <c r="H1065" s="160"/>
      <c r="I1065" s="160"/>
      <c r="J1065" s="160"/>
      <c r="K1065" s="160"/>
      <c r="L1065" s="160"/>
      <c r="M1065" s="1510"/>
      <c r="N1065" s="1511"/>
      <c r="O1065" s="1507"/>
      <c r="P1065" s="1507"/>
    </row>
    <row r="1066" spans="3:16" x14ac:dyDescent="0.2">
      <c r="C1066" s="160"/>
      <c r="D1066" s="160"/>
      <c r="E1066" s="160"/>
      <c r="F1066" s="160"/>
      <c r="G1066" s="160"/>
      <c r="H1066" s="160"/>
      <c r="I1066" s="160"/>
      <c r="J1066" s="160"/>
      <c r="K1066" s="160"/>
      <c r="L1066" s="160"/>
      <c r="M1066" s="1510"/>
      <c r="N1066" s="1511"/>
      <c r="O1066" s="1507"/>
      <c r="P1066" s="1507"/>
    </row>
    <row r="1067" spans="3:16" x14ac:dyDescent="0.2">
      <c r="C1067" s="160"/>
      <c r="D1067" s="160"/>
      <c r="E1067" s="160"/>
      <c r="F1067" s="160"/>
      <c r="G1067" s="160"/>
      <c r="H1067" s="160"/>
      <c r="I1067" s="160"/>
      <c r="J1067" s="160"/>
      <c r="K1067" s="160"/>
      <c r="L1067" s="160"/>
      <c r="M1067" s="1510"/>
      <c r="N1067" s="1511"/>
      <c r="O1067" s="1507"/>
      <c r="P1067" s="1507"/>
    </row>
    <row r="1068" spans="3:16" x14ac:dyDescent="0.2">
      <c r="C1068" s="160"/>
      <c r="D1068" s="160"/>
      <c r="E1068" s="160"/>
      <c r="F1068" s="160"/>
      <c r="G1068" s="160"/>
      <c r="H1068" s="160"/>
      <c r="I1068" s="160"/>
      <c r="J1068" s="160"/>
      <c r="K1068" s="160"/>
      <c r="L1068" s="160"/>
      <c r="M1068" s="1510"/>
      <c r="N1068" s="1511"/>
      <c r="O1068" s="1507"/>
      <c r="P1068" s="1507"/>
    </row>
    <row r="1069" spans="3:16" x14ac:dyDescent="0.2">
      <c r="C1069" s="160"/>
      <c r="D1069" s="160"/>
      <c r="E1069" s="160"/>
      <c r="F1069" s="160"/>
      <c r="G1069" s="160"/>
      <c r="H1069" s="160"/>
      <c r="I1069" s="160"/>
      <c r="J1069" s="160"/>
      <c r="K1069" s="160"/>
      <c r="L1069" s="160"/>
      <c r="M1069" s="1510"/>
      <c r="N1069" s="1511"/>
      <c r="O1069" s="1507"/>
      <c r="P1069" s="1507"/>
    </row>
    <row r="1070" spans="3:16" x14ac:dyDescent="0.2">
      <c r="C1070" s="160"/>
      <c r="D1070" s="160"/>
      <c r="E1070" s="160"/>
      <c r="F1070" s="160"/>
      <c r="G1070" s="160"/>
      <c r="H1070" s="160"/>
      <c r="I1070" s="160"/>
      <c r="J1070" s="160"/>
      <c r="K1070" s="160"/>
      <c r="L1070" s="160"/>
      <c r="M1070" s="1510"/>
      <c r="N1070" s="1511"/>
      <c r="O1070" s="1507"/>
      <c r="P1070" s="1507"/>
    </row>
    <row r="1071" spans="3:16" x14ac:dyDescent="0.2">
      <c r="C1071" s="160"/>
      <c r="D1071" s="160"/>
      <c r="E1071" s="160"/>
      <c r="F1071" s="160"/>
      <c r="G1071" s="160"/>
      <c r="H1071" s="160"/>
      <c r="I1071" s="160"/>
      <c r="J1071" s="160"/>
      <c r="K1071" s="160"/>
      <c r="L1071" s="160"/>
      <c r="M1071" s="1510"/>
      <c r="N1071" s="1511"/>
      <c r="O1071" s="1507"/>
      <c r="P1071" s="1507"/>
    </row>
    <row r="1072" spans="3:16" x14ac:dyDescent="0.2">
      <c r="C1072" s="160"/>
      <c r="D1072" s="160"/>
      <c r="E1072" s="160"/>
      <c r="F1072" s="160"/>
      <c r="G1072" s="160"/>
      <c r="H1072" s="160"/>
      <c r="I1072" s="160"/>
      <c r="J1072" s="160"/>
      <c r="K1072" s="160"/>
      <c r="L1072" s="160"/>
      <c r="M1072" s="1510"/>
      <c r="N1072" s="1511"/>
      <c r="O1072" s="1507"/>
      <c r="P1072" s="1507"/>
    </row>
    <row r="1073" spans="3:16" x14ac:dyDescent="0.2">
      <c r="C1073" s="160"/>
      <c r="D1073" s="160"/>
      <c r="E1073" s="160"/>
      <c r="F1073" s="160"/>
      <c r="G1073" s="160"/>
      <c r="H1073" s="160"/>
      <c r="I1073" s="160"/>
      <c r="J1073" s="160"/>
      <c r="K1073" s="160"/>
      <c r="L1073" s="160"/>
      <c r="M1073" s="1510"/>
      <c r="N1073" s="1511"/>
      <c r="O1073" s="1507"/>
      <c r="P1073" s="1507"/>
    </row>
    <row r="1074" spans="3:16" x14ac:dyDescent="0.2">
      <c r="C1074" s="160"/>
      <c r="D1074" s="160"/>
      <c r="E1074" s="160"/>
      <c r="F1074" s="160"/>
      <c r="G1074" s="160"/>
      <c r="H1074" s="160"/>
      <c r="I1074" s="160"/>
      <c r="J1074" s="160"/>
      <c r="K1074" s="160"/>
      <c r="L1074" s="160"/>
      <c r="M1074" s="1510"/>
      <c r="N1074" s="1511"/>
      <c r="O1074" s="1507"/>
      <c r="P1074" s="1507"/>
    </row>
    <row r="1075" spans="3:16" x14ac:dyDescent="0.2">
      <c r="C1075" s="160"/>
      <c r="D1075" s="160"/>
      <c r="E1075" s="160"/>
      <c r="F1075" s="160"/>
      <c r="G1075" s="160"/>
      <c r="H1075" s="160"/>
      <c r="I1075" s="160"/>
      <c r="J1075" s="160"/>
      <c r="K1075" s="160"/>
      <c r="L1075" s="160"/>
      <c r="M1075" s="1510"/>
      <c r="N1075" s="1511"/>
      <c r="O1075" s="1507"/>
      <c r="P1075" s="1507"/>
    </row>
    <row r="1076" spans="3:16" x14ac:dyDescent="0.2">
      <c r="C1076" s="160"/>
      <c r="D1076" s="160"/>
      <c r="E1076" s="160"/>
      <c r="F1076" s="160"/>
      <c r="G1076" s="160"/>
      <c r="H1076" s="160"/>
      <c r="I1076" s="160"/>
      <c r="J1076" s="160"/>
      <c r="K1076" s="160"/>
      <c r="L1076" s="160"/>
      <c r="M1076" s="1510"/>
      <c r="N1076" s="1511"/>
      <c r="O1076" s="1507"/>
      <c r="P1076" s="1507"/>
    </row>
    <row r="1077" spans="3:16" x14ac:dyDescent="0.2">
      <c r="C1077" s="160"/>
      <c r="D1077" s="160"/>
      <c r="E1077" s="160"/>
      <c r="F1077" s="160"/>
      <c r="G1077" s="160"/>
      <c r="H1077" s="160"/>
      <c r="I1077" s="160"/>
      <c r="J1077" s="160"/>
      <c r="K1077" s="160"/>
      <c r="L1077" s="160"/>
      <c r="M1077" s="1510"/>
      <c r="N1077" s="1511"/>
      <c r="O1077" s="1507"/>
      <c r="P1077" s="1507"/>
    </row>
    <row r="1078" spans="3:16" x14ac:dyDescent="0.2">
      <c r="C1078" s="160"/>
      <c r="D1078" s="160"/>
      <c r="E1078" s="160"/>
      <c r="F1078" s="160"/>
      <c r="G1078" s="160"/>
      <c r="H1078" s="160"/>
      <c r="I1078" s="160"/>
      <c r="J1078" s="160"/>
      <c r="K1078" s="160"/>
      <c r="L1078" s="160"/>
      <c r="M1078" s="1510"/>
      <c r="N1078" s="1511"/>
      <c r="O1078" s="1507"/>
      <c r="P1078" s="1507"/>
    </row>
    <row r="1079" spans="3:16" x14ac:dyDescent="0.2">
      <c r="C1079" s="160"/>
      <c r="D1079" s="160"/>
      <c r="E1079" s="160"/>
      <c r="F1079" s="160"/>
      <c r="G1079" s="160"/>
      <c r="H1079" s="160"/>
      <c r="I1079" s="160"/>
      <c r="J1079" s="160"/>
      <c r="K1079" s="160"/>
      <c r="L1079" s="160"/>
      <c r="M1079" s="1510"/>
      <c r="N1079" s="1511"/>
      <c r="O1079" s="1507"/>
      <c r="P1079" s="1507"/>
    </row>
    <row r="1080" spans="3:16" x14ac:dyDescent="0.2">
      <c r="C1080" s="160"/>
      <c r="D1080" s="160"/>
      <c r="E1080" s="160"/>
      <c r="F1080" s="160"/>
      <c r="G1080" s="160"/>
      <c r="H1080" s="160"/>
      <c r="I1080" s="160"/>
      <c r="J1080" s="160"/>
      <c r="K1080" s="160"/>
      <c r="L1080" s="160"/>
      <c r="M1080" s="1510"/>
      <c r="N1080" s="1511"/>
      <c r="O1080" s="1507"/>
      <c r="P1080" s="1507"/>
    </row>
    <row r="1081" spans="3:16" x14ac:dyDescent="0.2">
      <c r="C1081" s="160"/>
      <c r="D1081" s="160"/>
      <c r="E1081" s="160"/>
      <c r="F1081" s="160"/>
      <c r="G1081" s="160"/>
      <c r="H1081" s="160"/>
      <c r="I1081" s="160"/>
      <c r="J1081" s="160"/>
      <c r="K1081" s="160"/>
      <c r="L1081" s="160"/>
      <c r="M1081" s="1510"/>
      <c r="N1081" s="1511"/>
      <c r="O1081" s="1507"/>
      <c r="P1081" s="1507"/>
    </row>
    <row r="1082" spans="3:16" x14ac:dyDescent="0.2">
      <c r="C1082" s="160"/>
      <c r="D1082" s="160"/>
      <c r="E1082" s="160"/>
      <c r="F1082" s="160"/>
      <c r="G1082" s="160"/>
      <c r="H1082" s="160"/>
      <c r="I1082" s="160"/>
      <c r="J1082" s="160"/>
      <c r="K1082" s="160"/>
      <c r="L1082" s="160"/>
      <c r="M1082" s="1510"/>
      <c r="N1082" s="1511"/>
      <c r="O1082" s="1507"/>
      <c r="P1082" s="1507"/>
    </row>
    <row r="1083" spans="3:16" x14ac:dyDescent="0.2">
      <c r="C1083" s="160"/>
      <c r="D1083" s="160"/>
      <c r="E1083" s="160"/>
      <c r="F1083" s="160"/>
      <c r="G1083" s="160"/>
      <c r="H1083" s="160"/>
      <c r="I1083" s="160"/>
      <c r="J1083" s="160"/>
      <c r="K1083" s="160"/>
      <c r="L1083" s="160"/>
      <c r="M1083" s="1510"/>
      <c r="N1083" s="1511"/>
      <c r="O1083" s="1507"/>
      <c r="P1083" s="1507"/>
    </row>
    <row r="1084" spans="3:16" x14ac:dyDescent="0.2">
      <c r="C1084" s="160"/>
      <c r="D1084" s="160"/>
      <c r="E1084" s="160"/>
      <c r="F1084" s="160"/>
      <c r="G1084" s="160"/>
      <c r="H1084" s="160"/>
      <c r="I1084" s="160"/>
      <c r="J1084" s="160"/>
      <c r="K1084" s="160"/>
      <c r="L1084" s="160"/>
      <c r="M1084" s="1510"/>
      <c r="N1084" s="1511"/>
      <c r="O1084" s="1507"/>
      <c r="P1084" s="1507"/>
    </row>
    <row r="1085" spans="3:16" x14ac:dyDescent="0.2">
      <c r="C1085" s="160"/>
      <c r="D1085" s="160"/>
      <c r="E1085" s="160"/>
      <c r="F1085" s="160"/>
      <c r="G1085" s="160"/>
      <c r="H1085" s="160"/>
      <c r="I1085" s="160"/>
      <c r="J1085" s="160"/>
      <c r="K1085" s="160"/>
      <c r="L1085" s="160"/>
      <c r="M1085" s="1510"/>
      <c r="N1085" s="1511"/>
      <c r="O1085" s="1507"/>
      <c r="P1085" s="1507"/>
    </row>
    <row r="1086" spans="3:16" x14ac:dyDescent="0.2">
      <c r="C1086" s="160"/>
      <c r="D1086" s="160"/>
      <c r="E1086" s="160"/>
      <c r="F1086" s="160"/>
      <c r="G1086" s="160"/>
      <c r="H1086" s="160"/>
      <c r="I1086" s="160"/>
      <c r="J1086" s="160"/>
      <c r="K1086" s="160"/>
      <c r="L1086" s="160"/>
      <c r="M1086" s="1510"/>
      <c r="N1086" s="1511"/>
      <c r="O1086" s="1507"/>
      <c r="P1086" s="1507"/>
    </row>
    <row r="1087" spans="3:16" x14ac:dyDescent="0.2">
      <c r="C1087" s="160"/>
      <c r="D1087" s="160"/>
      <c r="E1087" s="160"/>
      <c r="F1087" s="160"/>
      <c r="G1087" s="160"/>
      <c r="H1087" s="160"/>
      <c r="I1087" s="160"/>
      <c r="J1087" s="160"/>
      <c r="K1087" s="160"/>
      <c r="L1087" s="160"/>
      <c r="M1087" s="1510"/>
      <c r="N1087" s="1511"/>
      <c r="O1087" s="1507"/>
      <c r="P1087" s="1507"/>
    </row>
    <row r="1088" spans="3:16" x14ac:dyDescent="0.2">
      <c r="C1088" s="160"/>
      <c r="D1088" s="160"/>
      <c r="E1088" s="160"/>
      <c r="F1088" s="160"/>
      <c r="G1088" s="160"/>
      <c r="H1088" s="160"/>
      <c r="I1088" s="160"/>
      <c r="J1088" s="160"/>
      <c r="K1088" s="160"/>
      <c r="L1088" s="160"/>
      <c r="M1088" s="1510"/>
      <c r="N1088" s="1511"/>
      <c r="O1088" s="1507"/>
      <c r="P1088" s="1507"/>
    </row>
    <row r="1089" spans="3:16" x14ac:dyDescent="0.2">
      <c r="C1089" s="160"/>
      <c r="D1089" s="160"/>
      <c r="E1089" s="160"/>
      <c r="F1089" s="160"/>
      <c r="G1089" s="160"/>
      <c r="H1089" s="160"/>
      <c r="I1089" s="160"/>
      <c r="J1089" s="160"/>
      <c r="K1089" s="160"/>
      <c r="L1089" s="160"/>
      <c r="M1089" s="1510"/>
      <c r="N1089" s="1511"/>
      <c r="O1089" s="1507"/>
      <c r="P1089" s="1507"/>
    </row>
    <row r="1090" spans="3:16" x14ac:dyDescent="0.2">
      <c r="C1090" s="160"/>
      <c r="D1090" s="160"/>
      <c r="E1090" s="160"/>
      <c r="F1090" s="160"/>
      <c r="G1090" s="160"/>
      <c r="H1090" s="160"/>
      <c r="I1090" s="160"/>
      <c r="J1090" s="160"/>
      <c r="K1090" s="160"/>
      <c r="L1090" s="160"/>
      <c r="M1090" s="1510"/>
      <c r="N1090" s="1511"/>
      <c r="O1090" s="1507"/>
      <c r="P1090" s="1507"/>
    </row>
    <row r="1091" spans="3:16" x14ac:dyDescent="0.2">
      <c r="C1091" s="160"/>
      <c r="D1091" s="160"/>
      <c r="E1091" s="160"/>
      <c r="F1091" s="160"/>
      <c r="G1091" s="160"/>
      <c r="H1091" s="160"/>
      <c r="I1091" s="160"/>
      <c r="J1091" s="160"/>
      <c r="K1091" s="160"/>
      <c r="L1091" s="160"/>
      <c r="M1091" s="1510"/>
      <c r="N1091" s="1511"/>
      <c r="O1091" s="1507"/>
      <c r="P1091" s="1507"/>
    </row>
    <row r="1092" spans="3:16" x14ac:dyDescent="0.2">
      <c r="C1092" s="160"/>
      <c r="D1092" s="160"/>
      <c r="E1092" s="160"/>
      <c r="F1092" s="160"/>
      <c r="G1092" s="160"/>
      <c r="H1092" s="160"/>
      <c r="I1092" s="160"/>
      <c r="J1092" s="160"/>
      <c r="K1092" s="160"/>
      <c r="L1092" s="160"/>
      <c r="M1092" s="1510"/>
      <c r="N1092" s="1511"/>
      <c r="O1092" s="1507"/>
      <c r="P1092" s="1507"/>
    </row>
    <row r="1093" spans="3:16" x14ac:dyDescent="0.2">
      <c r="C1093" s="160"/>
      <c r="D1093" s="160"/>
      <c r="E1093" s="160"/>
      <c r="F1093" s="160"/>
      <c r="G1093" s="160"/>
      <c r="H1093" s="160"/>
      <c r="I1093" s="160"/>
      <c r="J1093" s="160"/>
      <c r="K1093" s="160"/>
      <c r="L1093" s="160"/>
      <c r="M1093" s="1510"/>
      <c r="N1093" s="1511"/>
      <c r="O1093" s="1507"/>
      <c r="P1093" s="1507"/>
    </row>
    <row r="1094" spans="3:16" x14ac:dyDescent="0.2">
      <c r="C1094" s="160"/>
      <c r="D1094" s="160"/>
      <c r="E1094" s="160"/>
      <c r="F1094" s="160"/>
      <c r="G1094" s="160"/>
      <c r="H1094" s="160"/>
      <c r="I1094" s="160"/>
      <c r="J1094" s="160"/>
      <c r="K1094" s="160"/>
      <c r="L1094" s="160"/>
      <c r="M1094" s="1510"/>
      <c r="N1094" s="1511"/>
      <c r="O1094" s="1507"/>
      <c r="P1094" s="1507"/>
    </row>
    <row r="1095" spans="3:16" x14ac:dyDescent="0.2">
      <c r="C1095" s="160"/>
      <c r="D1095" s="160"/>
      <c r="E1095" s="160"/>
      <c r="F1095" s="160"/>
      <c r="G1095" s="160"/>
      <c r="H1095" s="160"/>
      <c r="I1095" s="160"/>
      <c r="J1095" s="160"/>
      <c r="K1095" s="160"/>
      <c r="L1095" s="160"/>
      <c r="M1095" s="1510"/>
      <c r="N1095" s="1511"/>
      <c r="O1095" s="1507"/>
      <c r="P1095" s="1507"/>
    </row>
    <row r="1096" spans="3:16" x14ac:dyDescent="0.2">
      <c r="C1096" s="160"/>
      <c r="D1096" s="160"/>
      <c r="E1096" s="160"/>
      <c r="F1096" s="160"/>
      <c r="G1096" s="160"/>
      <c r="H1096" s="160"/>
      <c r="I1096" s="160"/>
      <c r="J1096" s="160"/>
      <c r="K1096" s="160"/>
      <c r="L1096" s="160"/>
      <c r="M1096" s="1510"/>
      <c r="N1096" s="1511"/>
      <c r="O1096" s="1507"/>
      <c r="P1096" s="1507"/>
    </row>
    <row r="1097" spans="3:16" x14ac:dyDescent="0.2">
      <c r="C1097" s="160"/>
      <c r="D1097" s="160"/>
      <c r="E1097" s="160"/>
      <c r="F1097" s="160"/>
      <c r="G1097" s="160"/>
      <c r="H1097" s="160"/>
      <c r="I1097" s="160"/>
      <c r="J1097" s="160"/>
      <c r="K1097" s="160"/>
      <c r="L1097" s="160"/>
      <c r="M1097" s="1510"/>
      <c r="N1097" s="1511"/>
      <c r="O1097" s="1507"/>
      <c r="P1097" s="1507"/>
    </row>
    <row r="1098" spans="3:16" x14ac:dyDescent="0.2">
      <c r="C1098" s="160"/>
      <c r="D1098" s="160"/>
      <c r="E1098" s="160"/>
      <c r="F1098" s="160"/>
      <c r="G1098" s="160"/>
      <c r="H1098" s="160"/>
      <c r="I1098" s="160"/>
      <c r="J1098" s="160"/>
      <c r="K1098" s="160"/>
      <c r="L1098" s="160"/>
      <c r="M1098" s="1510"/>
      <c r="N1098" s="1511"/>
      <c r="O1098" s="1507"/>
      <c r="P1098" s="1507"/>
    </row>
    <row r="1099" spans="3:16" x14ac:dyDescent="0.2">
      <c r="C1099" s="160"/>
      <c r="D1099" s="160"/>
      <c r="E1099" s="160"/>
      <c r="F1099" s="160"/>
      <c r="G1099" s="160"/>
      <c r="H1099" s="160"/>
      <c r="I1099" s="160"/>
      <c r="J1099" s="160"/>
      <c r="K1099" s="160"/>
      <c r="L1099" s="160"/>
      <c r="M1099" s="1510"/>
      <c r="N1099" s="1511"/>
      <c r="O1099" s="1507"/>
      <c r="P1099" s="1507"/>
    </row>
    <row r="1100" spans="3:16" x14ac:dyDescent="0.2">
      <c r="C1100" s="160"/>
      <c r="D1100" s="160"/>
      <c r="E1100" s="160"/>
      <c r="F1100" s="160"/>
      <c r="G1100" s="160"/>
      <c r="H1100" s="160"/>
      <c r="I1100" s="160"/>
      <c r="J1100" s="160"/>
      <c r="K1100" s="160"/>
      <c r="L1100" s="160"/>
      <c r="M1100" s="1510"/>
      <c r="N1100" s="1511"/>
      <c r="O1100" s="1507"/>
      <c r="P1100" s="1507"/>
    </row>
    <row r="1101" spans="3:16" x14ac:dyDescent="0.2">
      <c r="C1101" s="160"/>
      <c r="D1101" s="160"/>
      <c r="E1101" s="160"/>
      <c r="F1101" s="160"/>
      <c r="G1101" s="160"/>
      <c r="H1101" s="160"/>
      <c r="I1101" s="160"/>
      <c r="J1101" s="160"/>
      <c r="K1101" s="160"/>
      <c r="L1101" s="160"/>
      <c r="M1101" s="1510"/>
      <c r="N1101" s="1511"/>
      <c r="O1101" s="1507"/>
      <c r="P1101" s="1507"/>
    </row>
    <row r="1102" spans="3:16" x14ac:dyDescent="0.2">
      <c r="C1102" s="160"/>
      <c r="D1102" s="160"/>
      <c r="E1102" s="160"/>
      <c r="F1102" s="160"/>
      <c r="G1102" s="160"/>
      <c r="H1102" s="160"/>
      <c r="I1102" s="160"/>
      <c r="J1102" s="160"/>
      <c r="K1102" s="160"/>
      <c r="L1102" s="160"/>
      <c r="M1102" s="1510"/>
      <c r="N1102" s="1511"/>
      <c r="O1102" s="1507"/>
      <c r="P1102" s="1507"/>
    </row>
    <row r="1103" spans="3:16" x14ac:dyDescent="0.2">
      <c r="C1103" s="160"/>
      <c r="D1103" s="160"/>
      <c r="E1103" s="160"/>
      <c r="F1103" s="160"/>
      <c r="G1103" s="160"/>
      <c r="H1103" s="160"/>
      <c r="I1103" s="160"/>
      <c r="J1103" s="160"/>
      <c r="K1103" s="160"/>
      <c r="L1103" s="160"/>
      <c r="M1103" s="1510"/>
      <c r="N1103" s="1511"/>
      <c r="O1103" s="1507"/>
      <c r="P1103" s="1507"/>
    </row>
    <row r="1104" spans="3:16" x14ac:dyDescent="0.2">
      <c r="C1104" s="160"/>
      <c r="D1104" s="160"/>
      <c r="E1104" s="160"/>
      <c r="F1104" s="160"/>
      <c r="G1104" s="160"/>
      <c r="H1104" s="160"/>
      <c r="I1104" s="160"/>
      <c r="J1104" s="160"/>
      <c r="K1104" s="160"/>
      <c r="L1104" s="160"/>
      <c r="M1104" s="1510"/>
      <c r="N1104" s="1511"/>
      <c r="O1104" s="1507"/>
      <c r="P1104" s="1507"/>
    </row>
    <row r="1105" spans="3:16" x14ac:dyDescent="0.2">
      <c r="C1105" s="160"/>
      <c r="D1105" s="160"/>
      <c r="E1105" s="160"/>
      <c r="F1105" s="160"/>
      <c r="G1105" s="160"/>
      <c r="H1105" s="160"/>
      <c r="I1105" s="160"/>
      <c r="J1105" s="160"/>
      <c r="K1105" s="160"/>
      <c r="L1105" s="160"/>
      <c r="M1105" s="1510"/>
      <c r="N1105" s="1511"/>
      <c r="O1105" s="1507"/>
      <c r="P1105" s="1507"/>
    </row>
    <row r="1106" spans="3:16" x14ac:dyDescent="0.2">
      <c r="C1106" s="160"/>
      <c r="D1106" s="160"/>
      <c r="E1106" s="160"/>
      <c r="F1106" s="160"/>
      <c r="G1106" s="160"/>
      <c r="H1106" s="160"/>
      <c r="I1106" s="160"/>
      <c r="J1106" s="160"/>
      <c r="K1106" s="160"/>
      <c r="L1106" s="160"/>
      <c r="M1106" s="1510"/>
      <c r="N1106" s="1511"/>
      <c r="O1106" s="1507"/>
      <c r="P1106" s="1507"/>
    </row>
    <row r="1107" spans="3:16" x14ac:dyDescent="0.2">
      <c r="C1107" s="160"/>
      <c r="D1107" s="160"/>
      <c r="E1107" s="160"/>
      <c r="F1107" s="160"/>
      <c r="G1107" s="160"/>
      <c r="H1107" s="160"/>
      <c r="I1107" s="160"/>
      <c r="J1107" s="160"/>
      <c r="K1107" s="160"/>
      <c r="L1107" s="160"/>
      <c r="M1107" s="1510"/>
      <c r="N1107" s="1511"/>
      <c r="O1107" s="1507"/>
      <c r="P1107" s="1507"/>
    </row>
    <row r="1108" spans="3:16" x14ac:dyDescent="0.2">
      <c r="C1108" s="160"/>
      <c r="D1108" s="160"/>
      <c r="E1108" s="160"/>
      <c r="F1108" s="160"/>
      <c r="G1108" s="160"/>
      <c r="H1108" s="160"/>
      <c r="I1108" s="160"/>
      <c r="J1108" s="160"/>
      <c r="K1108" s="160"/>
      <c r="L1108" s="160"/>
      <c r="M1108" s="1510"/>
      <c r="N1108" s="1511"/>
      <c r="O1108" s="1507"/>
      <c r="P1108" s="1507"/>
    </row>
    <row r="1109" spans="3:16" x14ac:dyDescent="0.2">
      <c r="C1109" s="160"/>
      <c r="D1109" s="160"/>
      <c r="E1109" s="160"/>
      <c r="F1109" s="160"/>
      <c r="G1109" s="160"/>
      <c r="H1109" s="160"/>
      <c r="I1109" s="160"/>
      <c r="J1109" s="160"/>
      <c r="K1109" s="160"/>
      <c r="L1109" s="160"/>
      <c r="M1109" s="1510"/>
      <c r="N1109" s="1511"/>
      <c r="O1109" s="1507"/>
      <c r="P1109" s="1507"/>
    </row>
    <row r="1110" spans="3:16" x14ac:dyDescent="0.2">
      <c r="C1110" s="160"/>
      <c r="D1110" s="160"/>
      <c r="E1110" s="160"/>
      <c r="F1110" s="160"/>
      <c r="G1110" s="160"/>
      <c r="H1110" s="160"/>
      <c r="I1110" s="160"/>
      <c r="J1110" s="160"/>
      <c r="K1110" s="160"/>
      <c r="L1110" s="160"/>
      <c r="M1110" s="1510"/>
      <c r="N1110" s="1511"/>
      <c r="O1110" s="1507"/>
      <c r="P1110" s="1507"/>
    </row>
    <row r="1111" spans="3:16" x14ac:dyDescent="0.2">
      <c r="C1111" s="160"/>
      <c r="D1111" s="160"/>
      <c r="E1111" s="160"/>
      <c r="F1111" s="160"/>
      <c r="G1111" s="160"/>
      <c r="H1111" s="160"/>
      <c r="I1111" s="160"/>
      <c r="J1111" s="160"/>
      <c r="K1111" s="160"/>
      <c r="L1111" s="160"/>
      <c r="M1111" s="1510"/>
      <c r="N1111" s="1511"/>
      <c r="O1111" s="1507"/>
      <c r="P1111" s="1507"/>
    </row>
    <row r="1112" spans="3:16" x14ac:dyDescent="0.2">
      <c r="C1112" s="160"/>
      <c r="D1112" s="160"/>
      <c r="E1112" s="160"/>
      <c r="F1112" s="160"/>
      <c r="G1112" s="160"/>
      <c r="H1112" s="160"/>
      <c r="I1112" s="160"/>
      <c r="J1112" s="160"/>
      <c r="K1112" s="160"/>
      <c r="L1112" s="160"/>
      <c r="M1112" s="1510"/>
      <c r="N1112" s="1511"/>
      <c r="O1112" s="1507"/>
      <c r="P1112" s="1507"/>
    </row>
    <row r="1113" spans="3:16" x14ac:dyDescent="0.2">
      <c r="C1113" s="160"/>
      <c r="D1113" s="160"/>
      <c r="E1113" s="160"/>
      <c r="F1113" s="160"/>
      <c r="G1113" s="160"/>
      <c r="H1113" s="160"/>
      <c r="I1113" s="160"/>
      <c r="J1113" s="160"/>
      <c r="K1113" s="160"/>
      <c r="L1113" s="160"/>
      <c r="M1113" s="1510"/>
      <c r="N1113" s="1511"/>
      <c r="O1113" s="1507"/>
      <c r="P1113" s="1507"/>
    </row>
    <row r="1114" spans="3:16" x14ac:dyDescent="0.2">
      <c r="C1114" s="160"/>
      <c r="D1114" s="160"/>
      <c r="E1114" s="160"/>
      <c r="F1114" s="160"/>
      <c r="G1114" s="160"/>
      <c r="H1114" s="160"/>
      <c r="I1114" s="160"/>
      <c r="J1114" s="160"/>
      <c r="K1114" s="160"/>
      <c r="L1114" s="160"/>
      <c r="M1114" s="1510"/>
      <c r="N1114" s="1511"/>
      <c r="O1114" s="1507"/>
      <c r="P1114" s="1507"/>
    </row>
    <row r="1115" spans="3:16" x14ac:dyDescent="0.2">
      <c r="C1115" s="160"/>
      <c r="D1115" s="160"/>
      <c r="E1115" s="160"/>
      <c r="F1115" s="160"/>
      <c r="G1115" s="160"/>
      <c r="H1115" s="160"/>
      <c r="I1115" s="160"/>
      <c r="J1115" s="160"/>
      <c r="K1115" s="160"/>
      <c r="L1115" s="160"/>
      <c r="M1115" s="1510"/>
      <c r="N1115" s="1511"/>
      <c r="O1115" s="1507"/>
      <c r="P1115" s="1507"/>
    </row>
    <row r="1116" spans="3:16" x14ac:dyDescent="0.2">
      <c r="C1116" s="160"/>
      <c r="D1116" s="160"/>
      <c r="E1116" s="160"/>
      <c r="F1116" s="160"/>
      <c r="G1116" s="160"/>
      <c r="H1116" s="160"/>
      <c r="I1116" s="160"/>
      <c r="J1116" s="160"/>
      <c r="K1116" s="160"/>
      <c r="L1116" s="160"/>
      <c r="M1116" s="1510"/>
      <c r="N1116" s="1511"/>
      <c r="O1116" s="1507"/>
      <c r="P1116" s="1507"/>
    </row>
    <row r="1117" spans="3:16" x14ac:dyDescent="0.2">
      <c r="C1117" s="160"/>
      <c r="D1117" s="160"/>
      <c r="E1117" s="160"/>
      <c r="F1117" s="160"/>
      <c r="G1117" s="160"/>
      <c r="H1117" s="160"/>
      <c r="I1117" s="160"/>
      <c r="J1117" s="160"/>
      <c r="K1117" s="160"/>
      <c r="L1117" s="160"/>
      <c r="M1117" s="1510"/>
      <c r="N1117" s="1511"/>
      <c r="O1117" s="1507"/>
      <c r="P1117" s="1507"/>
    </row>
    <row r="1118" spans="3:16" x14ac:dyDescent="0.2">
      <c r="C1118" s="160"/>
      <c r="D1118" s="160"/>
      <c r="E1118" s="160"/>
      <c r="F1118" s="160"/>
      <c r="G1118" s="160"/>
      <c r="H1118" s="160"/>
      <c r="I1118" s="160"/>
      <c r="J1118" s="160"/>
      <c r="K1118" s="160"/>
      <c r="L1118" s="160"/>
      <c r="M1118" s="1510"/>
      <c r="N1118" s="1511"/>
      <c r="O1118" s="1507"/>
      <c r="P1118" s="1507"/>
    </row>
    <row r="1119" spans="3:16" x14ac:dyDescent="0.2">
      <c r="C1119" s="160"/>
      <c r="D1119" s="160"/>
      <c r="E1119" s="160"/>
      <c r="F1119" s="160"/>
      <c r="G1119" s="160"/>
      <c r="H1119" s="160"/>
      <c r="I1119" s="160"/>
      <c r="J1119" s="160"/>
      <c r="K1119" s="160"/>
      <c r="L1119" s="160"/>
      <c r="M1119" s="1510"/>
      <c r="N1119" s="1511"/>
      <c r="O1119" s="1507"/>
      <c r="P1119" s="1507"/>
    </row>
    <row r="1120" spans="3:16" x14ac:dyDescent="0.2">
      <c r="C1120" s="160"/>
      <c r="D1120" s="160"/>
      <c r="E1120" s="160"/>
      <c r="F1120" s="160"/>
      <c r="G1120" s="160"/>
      <c r="H1120" s="160"/>
      <c r="I1120" s="160"/>
      <c r="J1120" s="160"/>
      <c r="K1120" s="160"/>
      <c r="L1120" s="160"/>
      <c r="M1120" s="1510"/>
      <c r="N1120" s="1511"/>
      <c r="O1120" s="1507"/>
      <c r="P1120" s="1507"/>
    </row>
    <row r="1121" spans="3:16" x14ac:dyDescent="0.2">
      <c r="C1121" s="160"/>
      <c r="D1121" s="160"/>
      <c r="E1121" s="160"/>
      <c r="F1121" s="160"/>
      <c r="G1121" s="160"/>
      <c r="H1121" s="160"/>
      <c r="I1121" s="160"/>
      <c r="J1121" s="160"/>
      <c r="K1121" s="160"/>
      <c r="L1121" s="160"/>
      <c r="M1121" s="1510"/>
      <c r="N1121" s="1511"/>
      <c r="O1121" s="1507"/>
      <c r="P1121" s="1507"/>
    </row>
    <row r="1122" spans="3:16" x14ac:dyDescent="0.2">
      <c r="C1122" s="160"/>
      <c r="D1122" s="160"/>
      <c r="E1122" s="160"/>
      <c r="F1122" s="160"/>
      <c r="G1122" s="160"/>
      <c r="H1122" s="160"/>
      <c r="I1122" s="160"/>
      <c r="J1122" s="160"/>
      <c r="K1122" s="160"/>
      <c r="L1122" s="160"/>
      <c r="M1122" s="1510"/>
      <c r="N1122" s="1511"/>
      <c r="O1122" s="1507"/>
      <c r="P1122" s="1507"/>
    </row>
    <row r="1123" spans="3:16" x14ac:dyDescent="0.2">
      <c r="C1123" s="160"/>
      <c r="D1123" s="160"/>
      <c r="E1123" s="160"/>
      <c r="F1123" s="160"/>
      <c r="G1123" s="160"/>
      <c r="H1123" s="160"/>
      <c r="I1123" s="160"/>
      <c r="J1123" s="160"/>
      <c r="K1123" s="160"/>
      <c r="L1123" s="160"/>
      <c r="M1123" s="1510"/>
      <c r="N1123" s="1511"/>
      <c r="O1123" s="1507"/>
      <c r="P1123" s="1507"/>
    </row>
    <row r="1124" spans="3:16" x14ac:dyDescent="0.2">
      <c r="C1124" s="160"/>
      <c r="D1124" s="160"/>
      <c r="E1124" s="160"/>
      <c r="F1124" s="160"/>
      <c r="G1124" s="160"/>
      <c r="H1124" s="160"/>
      <c r="I1124" s="160"/>
      <c r="J1124" s="160"/>
      <c r="K1124" s="160"/>
      <c r="L1124" s="160"/>
      <c r="M1124" s="1510"/>
      <c r="N1124" s="1511"/>
      <c r="O1124" s="1507"/>
      <c r="P1124" s="1507"/>
    </row>
    <row r="1125" spans="3:16" x14ac:dyDescent="0.2">
      <c r="C1125" s="160"/>
      <c r="D1125" s="160"/>
      <c r="E1125" s="160"/>
      <c r="F1125" s="160"/>
      <c r="G1125" s="160"/>
      <c r="H1125" s="160"/>
      <c r="I1125" s="160"/>
      <c r="J1125" s="160"/>
      <c r="K1125" s="160"/>
      <c r="L1125" s="160"/>
      <c r="M1125" s="1510"/>
      <c r="N1125" s="1511"/>
      <c r="O1125" s="1507"/>
      <c r="P1125" s="1507"/>
    </row>
    <row r="1126" spans="3:16" x14ac:dyDescent="0.2">
      <c r="C1126" s="160"/>
      <c r="D1126" s="160"/>
      <c r="E1126" s="160"/>
      <c r="F1126" s="160"/>
      <c r="G1126" s="160"/>
      <c r="H1126" s="160"/>
      <c r="I1126" s="160"/>
      <c r="J1126" s="160"/>
      <c r="K1126" s="160"/>
      <c r="L1126" s="160"/>
      <c r="M1126" s="1510"/>
      <c r="N1126" s="1511"/>
      <c r="O1126" s="1507"/>
      <c r="P1126" s="1507"/>
    </row>
    <row r="1127" spans="3:16" x14ac:dyDescent="0.2">
      <c r="C1127" s="160"/>
      <c r="D1127" s="160"/>
      <c r="E1127" s="160"/>
      <c r="F1127" s="160"/>
      <c r="G1127" s="160"/>
      <c r="H1127" s="160"/>
      <c r="I1127" s="160"/>
      <c r="J1127" s="160"/>
      <c r="K1127" s="160"/>
      <c r="L1127" s="160"/>
      <c r="M1127" s="1510"/>
      <c r="N1127" s="1511"/>
      <c r="O1127" s="1507"/>
      <c r="P1127" s="1507"/>
    </row>
    <row r="1128" spans="3:16" x14ac:dyDescent="0.2">
      <c r="C1128" s="160"/>
      <c r="D1128" s="160"/>
      <c r="E1128" s="160"/>
      <c r="F1128" s="160"/>
      <c r="G1128" s="160"/>
      <c r="H1128" s="160"/>
      <c r="I1128" s="160"/>
      <c r="J1128" s="160"/>
      <c r="K1128" s="160"/>
      <c r="L1128" s="160"/>
      <c r="M1128" s="1510"/>
      <c r="N1128" s="1511"/>
      <c r="O1128" s="1507"/>
      <c r="P1128" s="1507"/>
    </row>
    <row r="1129" spans="3:16" x14ac:dyDescent="0.2">
      <c r="C1129" s="160"/>
      <c r="D1129" s="160"/>
      <c r="E1129" s="160"/>
      <c r="F1129" s="160"/>
      <c r="G1129" s="160"/>
      <c r="H1129" s="160"/>
      <c r="I1129" s="160"/>
      <c r="J1129" s="160"/>
      <c r="K1129" s="160"/>
      <c r="L1129" s="160"/>
      <c r="M1129" s="1510"/>
      <c r="N1129" s="1511"/>
      <c r="O1129" s="1507"/>
      <c r="P1129" s="1507"/>
    </row>
    <row r="1130" spans="3:16" x14ac:dyDescent="0.2">
      <c r="C1130" s="160"/>
      <c r="D1130" s="160"/>
      <c r="E1130" s="160"/>
      <c r="F1130" s="160"/>
      <c r="G1130" s="160"/>
      <c r="H1130" s="160"/>
      <c r="I1130" s="160"/>
      <c r="J1130" s="160"/>
      <c r="K1130" s="160"/>
      <c r="L1130" s="160"/>
      <c r="M1130" s="1510"/>
      <c r="N1130" s="1511"/>
      <c r="O1130" s="1507"/>
      <c r="P1130" s="1507"/>
    </row>
    <row r="1131" spans="3:16" x14ac:dyDescent="0.2">
      <c r="C1131" s="160"/>
      <c r="D1131" s="160"/>
      <c r="E1131" s="160"/>
      <c r="F1131" s="160"/>
      <c r="G1131" s="160"/>
      <c r="H1131" s="160"/>
      <c r="I1131" s="160"/>
      <c r="J1131" s="160"/>
      <c r="K1131" s="160"/>
      <c r="L1131" s="160"/>
      <c r="M1131" s="1510"/>
      <c r="N1131" s="1511"/>
      <c r="O1131" s="1507"/>
      <c r="P1131" s="1507"/>
    </row>
    <row r="1132" spans="3:16" x14ac:dyDescent="0.2">
      <c r="C1132" s="160"/>
      <c r="D1132" s="160"/>
      <c r="E1132" s="160"/>
      <c r="F1132" s="160"/>
      <c r="G1132" s="160"/>
      <c r="H1132" s="160"/>
      <c r="I1132" s="160"/>
      <c r="J1132" s="160"/>
      <c r="K1132" s="160"/>
      <c r="L1132" s="160"/>
      <c r="M1132" s="1510"/>
      <c r="N1132" s="1511"/>
      <c r="O1132" s="1507"/>
      <c r="P1132" s="1507"/>
    </row>
    <row r="1133" spans="3:16" x14ac:dyDescent="0.2">
      <c r="C1133" s="160"/>
      <c r="D1133" s="160"/>
      <c r="E1133" s="160"/>
      <c r="F1133" s="160"/>
      <c r="G1133" s="160"/>
      <c r="H1133" s="160"/>
      <c r="I1133" s="160"/>
      <c r="J1133" s="160"/>
      <c r="K1133" s="160"/>
      <c r="L1133" s="160"/>
      <c r="M1133" s="1510"/>
      <c r="N1133" s="1511"/>
      <c r="O1133" s="1507"/>
      <c r="P1133" s="1507"/>
    </row>
    <row r="1134" spans="3:16" x14ac:dyDescent="0.2">
      <c r="C1134" s="160"/>
      <c r="D1134" s="160"/>
      <c r="E1134" s="160"/>
      <c r="F1134" s="160"/>
      <c r="G1134" s="160"/>
      <c r="H1134" s="160"/>
      <c r="I1134" s="160"/>
      <c r="J1134" s="160"/>
      <c r="K1134" s="160"/>
      <c r="L1134" s="160"/>
      <c r="M1134" s="1510"/>
      <c r="N1134" s="1511"/>
      <c r="O1134" s="1507"/>
      <c r="P1134" s="1507"/>
    </row>
    <row r="1135" spans="3:16" x14ac:dyDescent="0.2">
      <c r="C1135" s="160"/>
      <c r="D1135" s="160"/>
      <c r="E1135" s="160"/>
      <c r="F1135" s="160"/>
      <c r="G1135" s="160"/>
      <c r="H1135" s="160"/>
      <c r="I1135" s="160"/>
      <c r="J1135" s="160"/>
      <c r="K1135" s="160"/>
      <c r="L1135" s="160"/>
      <c r="M1135" s="1510"/>
      <c r="N1135" s="1511"/>
      <c r="O1135" s="1507"/>
      <c r="P1135" s="1507"/>
    </row>
    <row r="1136" spans="3:16" x14ac:dyDescent="0.2">
      <c r="C1136" s="160"/>
      <c r="D1136" s="160"/>
      <c r="E1136" s="160"/>
      <c r="F1136" s="160"/>
      <c r="G1136" s="160"/>
      <c r="H1136" s="160"/>
      <c r="I1136" s="160"/>
      <c r="J1136" s="160"/>
      <c r="K1136" s="160"/>
      <c r="L1136" s="160"/>
      <c r="M1136" s="1510"/>
      <c r="N1136" s="1511"/>
      <c r="O1136" s="1507"/>
      <c r="P1136" s="1507"/>
    </row>
    <row r="1137" spans="3:16" x14ac:dyDescent="0.2">
      <c r="C1137" s="160"/>
      <c r="D1137" s="160"/>
      <c r="E1137" s="160"/>
      <c r="F1137" s="160"/>
      <c r="G1137" s="160"/>
      <c r="H1137" s="160"/>
      <c r="I1137" s="160"/>
      <c r="J1137" s="160"/>
      <c r="K1137" s="160"/>
      <c r="L1137" s="160"/>
      <c r="M1137" s="1510"/>
      <c r="N1137" s="1511"/>
      <c r="O1137" s="1507"/>
      <c r="P1137" s="1507"/>
    </row>
    <row r="1138" spans="3:16" x14ac:dyDescent="0.2">
      <c r="C1138" s="160"/>
      <c r="D1138" s="160"/>
      <c r="E1138" s="160"/>
      <c r="F1138" s="160"/>
      <c r="G1138" s="160"/>
      <c r="H1138" s="160"/>
      <c r="I1138" s="160"/>
      <c r="J1138" s="160"/>
      <c r="K1138" s="160"/>
      <c r="L1138" s="160"/>
      <c r="M1138" s="1510"/>
      <c r="N1138" s="1511"/>
      <c r="O1138" s="1507"/>
      <c r="P1138" s="1507"/>
    </row>
    <row r="1139" spans="3:16" x14ac:dyDescent="0.2">
      <c r="C1139" s="160"/>
      <c r="D1139" s="160"/>
      <c r="E1139" s="160"/>
      <c r="F1139" s="160"/>
      <c r="G1139" s="160"/>
      <c r="H1139" s="160"/>
      <c r="I1139" s="160"/>
      <c r="J1139" s="160"/>
      <c r="K1139" s="160"/>
      <c r="L1139" s="160"/>
      <c r="M1139" s="1510"/>
      <c r="N1139" s="1511"/>
      <c r="O1139" s="1507"/>
      <c r="P1139" s="1507"/>
    </row>
    <row r="1140" spans="3:16" x14ac:dyDescent="0.2">
      <c r="C1140" s="160"/>
      <c r="D1140" s="160"/>
      <c r="E1140" s="160"/>
      <c r="F1140" s="160"/>
      <c r="G1140" s="160"/>
      <c r="H1140" s="160"/>
      <c r="I1140" s="160"/>
      <c r="J1140" s="160"/>
      <c r="K1140" s="160"/>
      <c r="L1140" s="160"/>
      <c r="M1140" s="1510"/>
      <c r="N1140" s="1511"/>
      <c r="O1140" s="1507"/>
      <c r="P1140" s="1507"/>
    </row>
    <row r="1141" spans="3:16" x14ac:dyDescent="0.2">
      <c r="C1141" s="160"/>
      <c r="D1141" s="160"/>
      <c r="E1141" s="160"/>
      <c r="F1141" s="160"/>
      <c r="G1141" s="160"/>
      <c r="H1141" s="160"/>
      <c r="I1141" s="160"/>
      <c r="J1141" s="160"/>
      <c r="K1141" s="160"/>
      <c r="L1141" s="160"/>
      <c r="M1141" s="1510"/>
      <c r="N1141" s="1511"/>
      <c r="O1141" s="1507"/>
      <c r="P1141" s="1507"/>
    </row>
    <row r="1142" spans="3:16" x14ac:dyDescent="0.2">
      <c r="C1142" s="160"/>
      <c r="D1142" s="160"/>
      <c r="E1142" s="160"/>
      <c r="F1142" s="160"/>
      <c r="G1142" s="160"/>
      <c r="H1142" s="160"/>
      <c r="I1142" s="160"/>
      <c r="J1142" s="160"/>
      <c r="K1142" s="160"/>
      <c r="L1142" s="160"/>
      <c r="M1142" s="1510"/>
      <c r="N1142" s="1511"/>
      <c r="O1142" s="1507"/>
      <c r="P1142" s="1507"/>
    </row>
    <row r="1143" spans="3:16" x14ac:dyDescent="0.2">
      <c r="C1143" s="160"/>
      <c r="D1143" s="160"/>
      <c r="E1143" s="160"/>
      <c r="F1143" s="160"/>
      <c r="G1143" s="160"/>
      <c r="H1143" s="160"/>
      <c r="I1143" s="160"/>
      <c r="J1143" s="160"/>
      <c r="K1143" s="160"/>
      <c r="L1143" s="160"/>
      <c r="M1143" s="1510"/>
      <c r="N1143" s="1511"/>
      <c r="O1143" s="1507"/>
      <c r="P1143" s="1507"/>
    </row>
    <row r="1144" spans="3:16" x14ac:dyDescent="0.2">
      <c r="C1144" s="160"/>
      <c r="D1144" s="160"/>
      <c r="E1144" s="160"/>
      <c r="F1144" s="160"/>
      <c r="G1144" s="160"/>
      <c r="H1144" s="160"/>
      <c r="I1144" s="160"/>
      <c r="J1144" s="160"/>
      <c r="K1144" s="160"/>
      <c r="L1144" s="160"/>
      <c r="M1144" s="1510"/>
      <c r="N1144" s="1511"/>
      <c r="O1144" s="1507"/>
      <c r="P1144" s="1507"/>
    </row>
    <row r="1145" spans="3:16" x14ac:dyDescent="0.2">
      <c r="C1145" s="160"/>
      <c r="D1145" s="160"/>
      <c r="E1145" s="160"/>
      <c r="F1145" s="160"/>
      <c r="G1145" s="160"/>
      <c r="H1145" s="160"/>
      <c r="I1145" s="160"/>
      <c r="J1145" s="160"/>
      <c r="K1145" s="160"/>
      <c r="L1145" s="160"/>
      <c r="M1145" s="1510"/>
      <c r="N1145" s="1511"/>
      <c r="O1145" s="1507"/>
      <c r="P1145" s="1507"/>
    </row>
    <row r="1146" spans="3:16" x14ac:dyDescent="0.2">
      <c r="C1146" s="160"/>
      <c r="D1146" s="160"/>
      <c r="E1146" s="160"/>
      <c r="F1146" s="160"/>
      <c r="G1146" s="160"/>
      <c r="H1146" s="160"/>
      <c r="I1146" s="160"/>
      <c r="J1146" s="160"/>
      <c r="K1146" s="160"/>
      <c r="L1146" s="160"/>
      <c r="M1146" s="1510"/>
      <c r="N1146" s="1511"/>
      <c r="O1146" s="1507"/>
      <c r="P1146" s="1507"/>
    </row>
    <row r="1147" spans="3:16" x14ac:dyDescent="0.2">
      <c r="C1147" s="160"/>
      <c r="D1147" s="160"/>
      <c r="E1147" s="160"/>
      <c r="F1147" s="160"/>
      <c r="G1147" s="160"/>
      <c r="H1147" s="160"/>
      <c r="I1147" s="160"/>
      <c r="J1147" s="160"/>
      <c r="K1147" s="160"/>
      <c r="L1147" s="160"/>
      <c r="M1147" s="1510"/>
      <c r="N1147" s="1511"/>
      <c r="O1147" s="1507"/>
      <c r="P1147" s="1507"/>
    </row>
    <row r="1148" spans="3:16" x14ac:dyDescent="0.2">
      <c r="C1148" s="160"/>
      <c r="D1148" s="160"/>
      <c r="E1148" s="160"/>
      <c r="F1148" s="160"/>
      <c r="G1148" s="160"/>
      <c r="H1148" s="160"/>
      <c r="I1148" s="160"/>
      <c r="J1148" s="160"/>
      <c r="K1148" s="160"/>
      <c r="L1148" s="160"/>
      <c r="M1148" s="1510"/>
      <c r="N1148" s="1511"/>
      <c r="O1148" s="1507"/>
      <c r="P1148" s="1507"/>
    </row>
    <row r="1149" spans="3:16" x14ac:dyDescent="0.2">
      <c r="C1149" s="160"/>
      <c r="D1149" s="160"/>
      <c r="E1149" s="160"/>
      <c r="F1149" s="160"/>
      <c r="G1149" s="160"/>
      <c r="H1149" s="160"/>
      <c r="I1149" s="160"/>
      <c r="J1149" s="160"/>
      <c r="K1149" s="160"/>
      <c r="L1149" s="160"/>
      <c r="M1149" s="1510"/>
      <c r="N1149" s="1511"/>
      <c r="O1149" s="1507"/>
      <c r="P1149" s="1507"/>
    </row>
    <row r="1150" spans="3:16" x14ac:dyDescent="0.2">
      <c r="C1150" s="160"/>
      <c r="D1150" s="160"/>
      <c r="E1150" s="160"/>
      <c r="F1150" s="160"/>
      <c r="G1150" s="160"/>
      <c r="H1150" s="160"/>
      <c r="I1150" s="160"/>
      <c r="J1150" s="160"/>
      <c r="K1150" s="160"/>
      <c r="L1150" s="160"/>
      <c r="M1150" s="1510"/>
      <c r="N1150" s="1511"/>
      <c r="O1150" s="1507"/>
      <c r="P1150" s="1507"/>
    </row>
    <row r="1151" spans="3:16" x14ac:dyDescent="0.2">
      <c r="C1151" s="160"/>
      <c r="D1151" s="160"/>
      <c r="E1151" s="160"/>
      <c r="F1151" s="160"/>
      <c r="G1151" s="160"/>
      <c r="H1151" s="160"/>
      <c r="I1151" s="160"/>
      <c r="J1151" s="160"/>
      <c r="K1151" s="160"/>
      <c r="L1151" s="160"/>
      <c r="M1151" s="1510"/>
      <c r="N1151" s="1511"/>
      <c r="O1151" s="1507"/>
      <c r="P1151" s="1507"/>
    </row>
    <row r="1152" spans="3:16" x14ac:dyDescent="0.2">
      <c r="C1152" s="160"/>
      <c r="D1152" s="160"/>
      <c r="E1152" s="160"/>
      <c r="F1152" s="160"/>
      <c r="G1152" s="160"/>
      <c r="H1152" s="160"/>
      <c r="I1152" s="160"/>
      <c r="J1152" s="160"/>
      <c r="K1152" s="160"/>
      <c r="L1152" s="160"/>
      <c r="M1152" s="1510"/>
      <c r="N1152" s="1511"/>
      <c r="O1152" s="1507"/>
      <c r="P1152" s="1507"/>
    </row>
    <row r="1153" spans="3:16" x14ac:dyDescent="0.2">
      <c r="C1153" s="160"/>
      <c r="D1153" s="160"/>
      <c r="E1153" s="160"/>
      <c r="F1153" s="160"/>
      <c r="G1153" s="160"/>
      <c r="H1153" s="160"/>
      <c r="I1153" s="160"/>
      <c r="J1153" s="160"/>
      <c r="K1153" s="160"/>
      <c r="L1153" s="160"/>
      <c r="M1153" s="1510"/>
      <c r="N1153" s="1511"/>
      <c r="O1153" s="1507"/>
      <c r="P1153" s="1507"/>
    </row>
    <row r="1154" spans="3:16" x14ac:dyDescent="0.2">
      <c r="C1154" s="160"/>
      <c r="D1154" s="160"/>
      <c r="E1154" s="160"/>
      <c r="F1154" s="160"/>
      <c r="G1154" s="160"/>
      <c r="H1154" s="160"/>
      <c r="I1154" s="160"/>
      <c r="J1154" s="160"/>
      <c r="K1154" s="160"/>
      <c r="L1154" s="160"/>
      <c r="M1154" s="1510"/>
      <c r="N1154" s="1511"/>
      <c r="O1154" s="1507"/>
      <c r="P1154" s="1507"/>
    </row>
    <row r="1155" spans="3:16" x14ac:dyDescent="0.2">
      <c r="C1155" s="160"/>
      <c r="D1155" s="160"/>
      <c r="E1155" s="160"/>
      <c r="F1155" s="160"/>
      <c r="G1155" s="160"/>
      <c r="H1155" s="160"/>
      <c r="I1155" s="160"/>
      <c r="J1155" s="160"/>
      <c r="K1155" s="160"/>
      <c r="L1155" s="160"/>
      <c r="M1155" s="1510"/>
      <c r="N1155" s="1511"/>
      <c r="O1155" s="1507"/>
      <c r="P1155" s="1507"/>
    </row>
    <row r="1156" spans="3:16" x14ac:dyDescent="0.2">
      <c r="C1156" s="160"/>
      <c r="D1156" s="160"/>
      <c r="E1156" s="160"/>
      <c r="F1156" s="160"/>
      <c r="G1156" s="160"/>
      <c r="H1156" s="160"/>
      <c r="I1156" s="160"/>
      <c r="J1156" s="160"/>
      <c r="K1156" s="160"/>
      <c r="L1156" s="160"/>
      <c r="M1156" s="1510"/>
      <c r="N1156" s="1511"/>
      <c r="O1156" s="1507"/>
      <c r="P1156" s="1507"/>
    </row>
    <row r="1157" spans="3:16" x14ac:dyDescent="0.2">
      <c r="C1157" s="160"/>
      <c r="D1157" s="160"/>
      <c r="E1157" s="160"/>
      <c r="F1157" s="160"/>
      <c r="G1157" s="160"/>
      <c r="H1157" s="160"/>
      <c r="I1157" s="160"/>
      <c r="J1157" s="160"/>
      <c r="K1157" s="160"/>
      <c r="L1157" s="160"/>
      <c r="M1157" s="1510"/>
      <c r="N1157" s="1511"/>
      <c r="O1157" s="1507"/>
      <c r="P1157" s="1507"/>
    </row>
    <row r="1158" spans="3:16" x14ac:dyDescent="0.2">
      <c r="C1158" s="160"/>
      <c r="D1158" s="160"/>
      <c r="E1158" s="160"/>
      <c r="F1158" s="160"/>
      <c r="G1158" s="160"/>
      <c r="H1158" s="160"/>
      <c r="I1158" s="160"/>
      <c r="J1158" s="160"/>
      <c r="K1158" s="160"/>
      <c r="L1158" s="160"/>
      <c r="M1158" s="1510"/>
      <c r="N1158" s="1511"/>
      <c r="O1158" s="1507"/>
      <c r="P1158" s="1507"/>
    </row>
    <row r="1159" spans="3:16" x14ac:dyDescent="0.2">
      <c r="C1159" s="160"/>
      <c r="D1159" s="160"/>
      <c r="E1159" s="160"/>
      <c r="F1159" s="160"/>
      <c r="G1159" s="160"/>
      <c r="H1159" s="160"/>
      <c r="I1159" s="160"/>
      <c r="J1159" s="160"/>
      <c r="K1159" s="160"/>
      <c r="L1159" s="160"/>
      <c r="M1159" s="1510"/>
      <c r="N1159" s="1511"/>
      <c r="O1159" s="1507"/>
      <c r="P1159" s="1507"/>
    </row>
    <row r="1160" spans="3:16" x14ac:dyDescent="0.2">
      <c r="C1160" s="160"/>
      <c r="D1160" s="160"/>
      <c r="E1160" s="160"/>
      <c r="F1160" s="160"/>
      <c r="G1160" s="160"/>
      <c r="H1160" s="160"/>
      <c r="I1160" s="160"/>
      <c r="J1160" s="160"/>
      <c r="K1160" s="160"/>
      <c r="L1160" s="160"/>
      <c r="M1160" s="1510"/>
      <c r="N1160" s="1511"/>
      <c r="O1160" s="1507"/>
      <c r="P1160" s="1507"/>
    </row>
    <row r="1161" spans="3:16" x14ac:dyDescent="0.2">
      <c r="C1161" s="160"/>
      <c r="D1161" s="160"/>
      <c r="E1161" s="160"/>
      <c r="F1161" s="160"/>
      <c r="G1161" s="160"/>
      <c r="H1161" s="160"/>
      <c r="I1161" s="160"/>
      <c r="J1161" s="160"/>
      <c r="K1161" s="160"/>
      <c r="L1161" s="160"/>
      <c r="M1161" s="1510"/>
      <c r="N1161" s="1511"/>
      <c r="O1161" s="1507"/>
      <c r="P1161" s="1507"/>
    </row>
    <row r="1162" spans="3:16" x14ac:dyDescent="0.2">
      <c r="C1162" s="160"/>
      <c r="D1162" s="160"/>
      <c r="E1162" s="160"/>
      <c r="F1162" s="160"/>
      <c r="G1162" s="160"/>
      <c r="H1162" s="160"/>
      <c r="I1162" s="160"/>
      <c r="J1162" s="160"/>
      <c r="K1162" s="160"/>
      <c r="L1162" s="160"/>
      <c r="M1162" s="1510"/>
      <c r="N1162" s="1511"/>
      <c r="O1162" s="1507"/>
      <c r="P1162" s="1507"/>
    </row>
    <row r="1163" spans="3:16" x14ac:dyDescent="0.2">
      <c r="C1163" s="160"/>
      <c r="D1163" s="160"/>
      <c r="E1163" s="160"/>
      <c r="F1163" s="160"/>
      <c r="G1163" s="160"/>
      <c r="H1163" s="160"/>
      <c r="I1163" s="160"/>
      <c r="J1163" s="160"/>
      <c r="K1163" s="160"/>
      <c r="L1163" s="160"/>
      <c r="M1163" s="1510"/>
      <c r="N1163" s="1511"/>
      <c r="O1163" s="1507"/>
      <c r="P1163" s="1507"/>
    </row>
    <row r="1164" spans="3:16" x14ac:dyDescent="0.2">
      <c r="C1164" s="160"/>
      <c r="D1164" s="160"/>
      <c r="E1164" s="160"/>
      <c r="F1164" s="160"/>
      <c r="G1164" s="160"/>
      <c r="H1164" s="160"/>
      <c r="I1164" s="160"/>
      <c r="J1164" s="160"/>
      <c r="K1164" s="160"/>
      <c r="L1164" s="160"/>
      <c r="M1164" s="1510"/>
      <c r="N1164" s="1511"/>
      <c r="O1164" s="1507"/>
      <c r="P1164" s="1507"/>
    </row>
    <row r="1165" spans="3:16" x14ac:dyDescent="0.2">
      <c r="C1165" s="160"/>
      <c r="D1165" s="160"/>
      <c r="E1165" s="160"/>
      <c r="F1165" s="160"/>
      <c r="G1165" s="160"/>
      <c r="H1165" s="160"/>
      <c r="I1165" s="160"/>
      <c r="J1165" s="160"/>
      <c r="K1165" s="160"/>
      <c r="L1165" s="160"/>
      <c r="M1165" s="1510"/>
      <c r="N1165" s="1511"/>
      <c r="O1165" s="1507"/>
      <c r="P1165" s="1507"/>
    </row>
    <row r="1166" spans="3:16" x14ac:dyDescent="0.2">
      <c r="C1166" s="160"/>
      <c r="D1166" s="160"/>
      <c r="E1166" s="160"/>
      <c r="F1166" s="160"/>
      <c r="G1166" s="160"/>
      <c r="H1166" s="160"/>
      <c r="I1166" s="160"/>
      <c r="J1166" s="160"/>
      <c r="K1166" s="160"/>
      <c r="L1166" s="160"/>
      <c r="M1166" s="1510"/>
      <c r="N1166" s="1511"/>
      <c r="O1166" s="1507"/>
      <c r="P1166" s="1507"/>
    </row>
    <row r="1167" spans="3:16" x14ac:dyDescent="0.2">
      <c r="C1167" s="160"/>
      <c r="D1167" s="160"/>
      <c r="E1167" s="160"/>
      <c r="F1167" s="160"/>
      <c r="G1167" s="160"/>
      <c r="H1167" s="160"/>
      <c r="I1167" s="160"/>
      <c r="J1167" s="160"/>
      <c r="K1167" s="160"/>
      <c r="L1167" s="160"/>
      <c r="M1167" s="1510"/>
      <c r="N1167" s="1511"/>
      <c r="O1167" s="1507"/>
      <c r="P1167" s="1507"/>
    </row>
    <row r="1168" spans="3:16" x14ac:dyDescent="0.2">
      <c r="C1168" s="160"/>
      <c r="D1168" s="160"/>
      <c r="E1168" s="160"/>
      <c r="F1168" s="160"/>
      <c r="G1168" s="160"/>
      <c r="H1168" s="160"/>
      <c r="I1168" s="160"/>
      <c r="J1168" s="160"/>
      <c r="K1168" s="160"/>
      <c r="L1168" s="160"/>
      <c r="M1168" s="1510"/>
      <c r="N1168" s="1511"/>
      <c r="O1168" s="1507"/>
      <c r="P1168" s="1507"/>
    </row>
    <row r="1169" spans="3:16" x14ac:dyDescent="0.2">
      <c r="C1169" s="160"/>
      <c r="D1169" s="160"/>
      <c r="E1169" s="160"/>
      <c r="F1169" s="160"/>
      <c r="G1169" s="160"/>
      <c r="H1169" s="160"/>
      <c r="I1169" s="160"/>
      <c r="J1169" s="160"/>
      <c r="K1169" s="160"/>
      <c r="L1169" s="160"/>
      <c r="M1169" s="1510"/>
      <c r="N1169" s="1511"/>
      <c r="O1169" s="1507"/>
      <c r="P1169" s="1507"/>
    </row>
    <row r="1170" spans="3:16" x14ac:dyDescent="0.2">
      <c r="C1170" s="160"/>
      <c r="D1170" s="160"/>
      <c r="E1170" s="160"/>
      <c r="F1170" s="160"/>
      <c r="G1170" s="160"/>
      <c r="H1170" s="160"/>
      <c r="I1170" s="160"/>
      <c r="J1170" s="160"/>
      <c r="K1170" s="160"/>
      <c r="L1170" s="160"/>
      <c r="M1170" s="1510"/>
      <c r="N1170" s="1511"/>
      <c r="O1170" s="1507"/>
      <c r="P1170" s="1507"/>
    </row>
    <row r="1171" spans="3:16" x14ac:dyDescent="0.2">
      <c r="C1171" s="160"/>
      <c r="D1171" s="160"/>
      <c r="E1171" s="160"/>
      <c r="F1171" s="160"/>
      <c r="G1171" s="160"/>
      <c r="H1171" s="160"/>
      <c r="I1171" s="160"/>
      <c r="J1171" s="160"/>
      <c r="K1171" s="160"/>
      <c r="L1171" s="160"/>
      <c r="M1171" s="1510"/>
      <c r="N1171" s="1511"/>
      <c r="O1171" s="1507"/>
      <c r="P1171" s="1507"/>
    </row>
    <row r="1172" spans="3:16" x14ac:dyDescent="0.2">
      <c r="C1172" s="160"/>
      <c r="D1172" s="160"/>
      <c r="E1172" s="160"/>
      <c r="F1172" s="160"/>
      <c r="G1172" s="160"/>
      <c r="H1172" s="160"/>
      <c r="I1172" s="160"/>
      <c r="J1172" s="160"/>
      <c r="K1172" s="160"/>
      <c r="L1172" s="160"/>
      <c r="M1172" s="1510"/>
      <c r="N1172" s="1511"/>
      <c r="O1172" s="1507"/>
      <c r="P1172" s="1507"/>
    </row>
    <row r="1173" spans="3:16" x14ac:dyDescent="0.2">
      <c r="C1173" s="160"/>
      <c r="D1173" s="160"/>
      <c r="E1173" s="160"/>
      <c r="F1173" s="160"/>
      <c r="G1173" s="160"/>
      <c r="H1173" s="160"/>
      <c r="I1173" s="160"/>
      <c r="J1173" s="160"/>
      <c r="K1173" s="160"/>
      <c r="L1173" s="160"/>
      <c r="M1173" s="1510"/>
      <c r="N1173" s="1511"/>
      <c r="O1173" s="1507"/>
      <c r="P1173" s="1507"/>
    </row>
    <row r="1174" spans="3:16" x14ac:dyDescent="0.2">
      <c r="C1174" s="160"/>
      <c r="D1174" s="160"/>
      <c r="E1174" s="160"/>
      <c r="F1174" s="160"/>
      <c r="G1174" s="160"/>
      <c r="H1174" s="160"/>
      <c r="I1174" s="160"/>
      <c r="J1174" s="160"/>
      <c r="K1174" s="160"/>
      <c r="L1174" s="160"/>
      <c r="M1174" s="1510"/>
      <c r="N1174" s="1511"/>
      <c r="O1174" s="1507"/>
      <c r="P1174" s="1507"/>
    </row>
    <row r="1175" spans="3:16" x14ac:dyDescent="0.2">
      <c r="C1175" s="160"/>
      <c r="D1175" s="160"/>
      <c r="E1175" s="160"/>
      <c r="F1175" s="160"/>
      <c r="G1175" s="160"/>
      <c r="H1175" s="160"/>
      <c r="I1175" s="160"/>
      <c r="J1175" s="160"/>
      <c r="K1175" s="160"/>
      <c r="L1175" s="160"/>
      <c r="M1175" s="1510"/>
      <c r="N1175" s="1511"/>
      <c r="O1175" s="1507"/>
      <c r="P1175" s="1507"/>
    </row>
    <row r="1176" spans="3:16" x14ac:dyDescent="0.2">
      <c r="C1176" s="160"/>
      <c r="D1176" s="160"/>
      <c r="E1176" s="160"/>
      <c r="F1176" s="160"/>
      <c r="G1176" s="160"/>
      <c r="H1176" s="160"/>
      <c r="I1176" s="160"/>
      <c r="J1176" s="160"/>
      <c r="K1176" s="160"/>
      <c r="L1176" s="160"/>
      <c r="M1176" s="1510"/>
      <c r="N1176" s="1511"/>
      <c r="O1176" s="1507"/>
      <c r="P1176" s="1507"/>
    </row>
    <row r="1177" spans="3:16" x14ac:dyDescent="0.2">
      <c r="C1177" s="160"/>
      <c r="D1177" s="160"/>
      <c r="E1177" s="160"/>
      <c r="F1177" s="160"/>
      <c r="G1177" s="160"/>
      <c r="H1177" s="160"/>
      <c r="I1177" s="160"/>
      <c r="J1177" s="160"/>
      <c r="K1177" s="160"/>
      <c r="L1177" s="160"/>
      <c r="M1177" s="1510"/>
      <c r="N1177" s="1511"/>
      <c r="O1177" s="1507"/>
      <c r="P1177" s="1507"/>
    </row>
    <row r="1178" spans="3:16" x14ac:dyDescent="0.2">
      <c r="C1178" s="160"/>
      <c r="D1178" s="160"/>
      <c r="E1178" s="160"/>
      <c r="F1178" s="160"/>
      <c r="G1178" s="160"/>
      <c r="H1178" s="160"/>
      <c r="I1178" s="160"/>
      <c r="J1178" s="160"/>
      <c r="K1178" s="160"/>
      <c r="L1178" s="160"/>
      <c r="M1178" s="1510"/>
      <c r="N1178" s="1511"/>
      <c r="O1178" s="1507"/>
      <c r="P1178" s="1507"/>
    </row>
    <row r="1179" spans="3:16" x14ac:dyDescent="0.2">
      <c r="C1179" s="160"/>
      <c r="D1179" s="160"/>
      <c r="E1179" s="160"/>
      <c r="F1179" s="160"/>
      <c r="G1179" s="160"/>
      <c r="H1179" s="160"/>
      <c r="I1179" s="160"/>
      <c r="J1179" s="160"/>
      <c r="K1179" s="160"/>
      <c r="L1179" s="160"/>
      <c r="M1179" s="1510"/>
      <c r="N1179" s="1511"/>
      <c r="O1179" s="1507"/>
      <c r="P1179" s="1507"/>
    </row>
    <row r="1180" spans="3:16" x14ac:dyDescent="0.2">
      <c r="C1180" s="160"/>
      <c r="D1180" s="160"/>
      <c r="E1180" s="160"/>
      <c r="F1180" s="160"/>
      <c r="G1180" s="160"/>
      <c r="H1180" s="160"/>
      <c r="I1180" s="160"/>
      <c r="J1180" s="160"/>
      <c r="K1180" s="160"/>
      <c r="L1180" s="160"/>
      <c r="M1180" s="1510"/>
      <c r="N1180" s="1511"/>
      <c r="O1180" s="1507"/>
      <c r="P1180" s="1507"/>
    </row>
    <row r="1181" spans="3:16" x14ac:dyDescent="0.2">
      <c r="C1181" s="160"/>
      <c r="D1181" s="160"/>
      <c r="E1181" s="160"/>
      <c r="F1181" s="160"/>
      <c r="G1181" s="160"/>
      <c r="H1181" s="160"/>
      <c r="I1181" s="160"/>
      <c r="J1181" s="160"/>
      <c r="K1181" s="160"/>
      <c r="L1181" s="160"/>
      <c r="M1181" s="1510"/>
      <c r="N1181" s="1511"/>
      <c r="O1181" s="1507"/>
      <c r="P1181" s="1507"/>
    </row>
    <row r="1182" spans="3:16" x14ac:dyDescent="0.2">
      <c r="C1182" s="160"/>
      <c r="D1182" s="160"/>
      <c r="E1182" s="160"/>
      <c r="F1182" s="160"/>
      <c r="G1182" s="160"/>
      <c r="H1182" s="160"/>
      <c r="I1182" s="160"/>
      <c r="J1182" s="160"/>
      <c r="K1182" s="160"/>
      <c r="L1182" s="160"/>
      <c r="M1182" s="1510"/>
      <c r="N1182" s="1511"/>
      <c r="O1182" s="1507"/>
      <c r="P1182" s="1507"/>
    </row>
    <row r="1183" spans="3:16" x14ac:dyDescent="0.2">
      <c r="C1183" s="160"/>
      <c r="D1183" s="160"/>
      <c r="E1183" s="160"/>
      <c r="F1183" s="160"/>
      <c r="G1183" s="160"/>
      <c r="H1183" s="160"/>
      <c r="I1183" s="160"/>
      <c r="J1183" s="160"/>
      <c r="K1183" s="160"/>
      <c r="L1183" s="160"/>
      <c r="M1183" s="1510"/>
      <c r="N1183" s="1511"/>
      <c r="O1183" s="1507"/>
      <c r="P1183" s="1507"/>
    </row>
    <row r="1184" spans="3:16" x14ac:dyDescent="0.2">
      <c r="C1184" s="160"/>
      <c r="D1184" s="160"/>
      <c r="E1184" s="160"/>
      <c r="F1184" s="160"/>
      <c r="G1184" s="160"/>
      <c r="H1184" s="160"/>
      <c r="I1184" s="160"/>
      <c r="J1184" s="160"/>
      <c r="K1184" s="160"/>
      <c r="L1184" s="160"/>
      <c r="M1184" s="1510"/>
      <c r="N1184" s="1511"/>
      <c r="O1184" s="1507"/>
      <c r="P1184" s="1507"/>
    </row>
    <row r="1185" spans="3:16" x14ac:dyDescent="0.2">
      <c r="C1185" s="160"/>
      <c r="D1185" s="160"/>
      <c r="E1185" s="160"/>
      <c r="F1185" s="160"/>
      <c r="G1185" s="160"/>
      <c r="H1185" s="160"/>
      <c r="I1185" s="160"/>
      <c r="J1185" s="160"/>
      <c r="K1185" s="160"/>
      <c r="L1185" s="160"/>
      <c r="M1185" s="1510"/>
      <c r="N1185" s="1511"/>
      <c r="O1185" s="1507"/>
      <c r="P1185" s="1507"/>
    </row>
    <row r="1186" spans="3:16" x14ac:dyDescent="0.2">
      <c r="C1186" s="160"/>
      <c r="D1186" s="160"/>
      <c r="E1186" s="160"/>
      <c r="F1186" s="160"/>
      <c r="G1186" s="160"/>
      <c r="H1186" s="160"/>
      <c r="I1186" s="160"/>
      <c r="J1186" s="160"/>
      <c r="K1186" s="160"/>
      <c r="L1186" s="160"/>
      <c r="M1186" s="1510"/>
      <c r="N1186" s="1511"/>
      <c r="O1186" s="1507"/>
      <c r="P1186" s="1507"/>
    </row>
    <row r="1187" spans="3:16" x14ac:dyDescent="0.2">
      <c r="C1187" s="160"/>
      <c r="D1187" s="160"/>
      <c r="E1187" s="160"/>
      <c r="F1187" s="160"/>
      <c r="G1187" s="160"/>
      <c r="H1187" s="160"/>
      <c r="I1187" s="160"/>
      <c r="J1187" s="160"/>
      <c r="K1187" s="160"/>
      <c r="L1187" s="160"/>
      <c r="M1187" s="1510"/>
      <c r="N1187" s="1511"/>
      <c r="O1187" s="1507"/>
      <c r="P1187" s="1507"/>
    </row>
    <row r="1188" spans="3:16" x14ac:dyDescent="0.2">
      <c r="C1188" s="160"/>
      <c r="D1188" s="160"/>
      <c r="E1188" s="160"/>
      <c r="F1188" s="160"/>
      <c r="G1188" s="160"/>
      <c r="H1188" s="160"/>
      <c r="I1188" s="160"/>
      <c r="J1188" s="160"/>
      <c r="K1188" s="160"/>
      <c r="L1188" s="160"/>
      <c r="M1188" s="1510"/>
      <c r="N1188" s="1511"/>
      <c r="O1188" s="1507"/>
      <c r="P1188" s="1507"/>
    </row>
    <row r="1189" spans="3:16" x14ac:dyDescent="0.2">
      <c r="C1189" s="160"/>
      <c r="D1189" s="160"/>
      <c r="E1189" s="160"/>
      <c r="F1189" s="160"/>
      <c r="G1189" s="160"/>
      <c r="H1189" s="160"/>
      <c r="I1189" s="160"/>
      <c r="J1189" s="160"/>
      <c r="K1189" s="160"/>
      <c r="L1189" s="160"/>
      <c r="M1189" s="1510"/>
      <c r="N1189" s="1511"/>
      <c r="O1189" s="1507"/>
      <c r="P1189" s="1507"/>
    </row>
    <row r="1190" spans="3:16" x14ac:dyDescent="0.2">
      <c r="C1190" s="160"/>
      <c r="D1190" s="160"/>
      <c r="E1190" s="160"/>
      <c r="F1190" s="160"/>
      <c r="G1190" s="160"/>
      <c r="H1190" s="160"/>
      <c r="I1190" s="160"/>
      <c r="J1190" s="160"/>
      <c r="K1190" s="160"/>
      <c r="L1190" s="160"/>
      <c r="M1190" s="1510"/>
      <c r="N1190" s="1511"/>
      <c r="O1190" s="1507"/>
      <c r="P1190" s="1507"/>
    </row>
    <row r="1191" spans="3:16" x14ac:dyDescent="0.2">
      <c r="C1191" s="160"/>
      <c r="D1191" s="160"/>
      <c r="E1191" s="160"/>
      <c r="F1191" s="160"/>
      <c r="G1191" s="160"/>
      <c r="H1191" s="160"/>
      <c r="I1191" s="160"/>
      <c r="J1191" s="160"/>
      <c r="K1191" s="160"/>
      <c r="L1191" s="160"/>
      <c r="M1191" s="1510"/>
      <c r="N1191" s="1511"/>
      <c r="O1191" s="1507"/>
      <c r="P1191" s="1507"/>
    </row>
    <row r="1192" spans="3:16" x14ac:dyDescent="0.2">
      <c r="C1192" s="160"/>
      <c r="D1192" s="160"/>
      <c r="E1192" s="160"/>
      <c r="F1192" s="160"/>
      <c r="G1192" s="160"/>
      <c r="H1192" s="160"/>
      <c r="I1192" s="160"/>
      <c r="J1192" s="160"/>
      <c r="K1192" s="160"/>
      <c r="L1192" s="160"/>
      <c r="M1192" s="1510"/>
      <c r="N1192" s="1511"/>
      <c r="O1192" s="1507"/>
      <c r="P1192" s="1507"/>
    </row>
  </sheetData>
  <mergeCells count="10">
    <mergeCell ref="A378:B378"/>
    <mergeCell ref="A1:L1"/>
    <mergeCell ref="A114:B114"/>
    <mergeCell ref="A320:B320"/>
    <mergeCell ref="A156:B156"/>
    <mergeCell ref="A331:B331"/>
    <mergeCell ref="A125:B125"/>
    <mergeCell ref="A4:B4"/>
    <mergeCell ref="A163:B163"/>
    <mergeCell ref="A325:B325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J91" sqref="J91"/>
    </sheetView>
  </sheetViews>
  <sheetFormatPr defaultRowHeight="12.75" x14ac:dyDescent="0.2"/>
  <cols>
    <col min="1" max="1" width="35.85546875" customWidth="1"/>
    <col min="2" max="2" width="22" customWidth="1"/>
    <col min="3" max="4" width="0.28515625" customWidth="1"/>
    <col min="5" max="5" width="37.7109375" customWidth="1"/>
    <col min="6" max="6" width="20.42578125" customWidth="1"/>
    <col min="7" max="8" width="0.28515625" customWidth="1"/>
    <col min="9" max="9" width="11.5703125" customWidth="1"/>
  </cols>
  <sheetData>
    <row r="1" spans="1:9" ht="37.5" customHeight="1" thickBot="1" x14ac:dyDescent="0.3">
      <c r="A1" s="1920" t="s">
        <v>544</v>
      </c>
      <c r="B1" s="1921"/>
      <c r="C1" s="1921"/>
      <c r="D1" s="1921"/>
      <c r="E1" s="1921"/>
      <c r="F1" s="1921"/>
      <c r="G1" s="1921"/>
      <c r="H1" s="421"/>
      <c r="I1" s="421"/>
    </row>
    <row r="2" spans="1:9" ht="18.75" customHeight="1" thickBot="1" x14ac:dyDescent="0.25">
      <c r="A2" s="618"/>
      <c r="B2" s="1059" t="s">
        <v>403</v>
      </c>
      <c r="C2" s="1059"/>
      <c r="D2" s="1278"/>
      <c r="E2" s="1055"/>
      <c r="F2" s="1059" t="s">
        <v>403</v>
      </c>
      <c r="G2" s="1435"/>
      <c r="H2" s="1446"/>
    </row>
    <row r="3" spans="1:9" x14ac:dyDescent="0.2">
      <c r="A3" s="1922" t="s">
        <v>41</v>
      </c>
      <c r="B3" s="1923"/>
      <c r="C3" s="609"/>
      <c r="D3" s="609"/>
      <c r="E3" s="1924" t="s">
        <v>127</v>
      </c>
      <c r="F3" s="2027"/>
      <c r="G3" s="1925"/>
      <c r="H3" s="614"/>
    </row>
    <row r="4" spans="1:9" ht="13.5" thickBot="1" x14ac:dyDescent="0.25">
      <c r="A4" s="2028" t="s">
        <v>204</v>
      </c>
      <c r="B4" s="2029"/>
      <c r="C4" s="1266"/>
      <c r="D4" s="1266"/>
      <c r="E4" s="2030" t="s">
        <v>204</v>
      </c>
      <c r="F4" s="2030"/>
      <c r="G4" s="2031"/>
      <c r="H4" s="612"/>
    </row>
    <row r="5" spans="1:9" x14ac:dyDescent="0.2">
      <c r="A5" s="396"/>
      <c r="B5" s="624"/>
      <c r="C5" s="623"/>
      <c r="D5" s="397"/>
      <c r="E5" s="393" t="s">
        <v>10</v>
      </c>
      <c r="F5" s="1063">
        <f>SUM('13.sz.melléklet'!C19)</f>
        <v>74262</v>
      </c>
      <c r="G5" s="1436">
        <f>SUM('13.sz.melléklet'!C20)</f>
        <v>90205</v>
      </c>
      <c r="H5" s="1416">
        <f>SUM('13.sz.melléklet'!C21)</f>
        <v>62412</v>
      </c>
    </row>
    <row r="6" spans="1:9" x14ac:dyDescent="0.2">
      <c r="A6" s="58" t="s">
        <v>192</v>
      </c>
      <c r="B6" s="1060">
        <f>SUM('13.sz.melléklet'!C38)</f>
        <v>100</v>
      </c>
      <c r="C6" s="1061">
        <f>SUM('13.sz.melléklet'!C39)</f>
        <v>100</v>
      </c>
      <c r="D6" s="1418">
        <f>SUM('13.sz.melléklet'!C40)</f>
        <v>0</v>
      </c>
      <c r="E6" s="387" t="s">
        <v>353</v>
      </c>
      <c r="F6" s="1064">
        <f>SUM('13.sz.melléklet'!D19)</f>
        <v>21568</v>
      </c>
      <c r="G6" s="1437">
        <f>SUM('13.sz.melléklet'!D20)</f>
        <v>25777</v>
      </c>
      <c r="H6" s="1061">
        <f>SUM('13.sz.melléklet'!D21)</f>
        <v>17872</v>
      </c>
    </row>
    <row r="7" spans="1:9" x14ac:dyDescent="0.2">
      <c r="A7" s="58" t="s">
        <v>351</v>
      </c>
      <c r="B7" s="1060">
        <f>SUM('13.sz.melléklet'!D38)</f>
        <v>14554</v>
      </c>
      <c r="C7" s="1061">
        <f>SUM('13.sz.melléklet'!D39)</f>
        <v>14582</v>
      </c>
      <c r="D7" s="1418">
        <f>SUM('13.sz.melléklet'!D40)</f>
        <v>8790</v>
      </c>
      <c r="E7" s="387" t="s">
        <v>21</v>
      </c>
      <c r="F7" s="1064">
        <f>SUM('13.sz.melléklet'!E19)</f>
        <v>34293</v>
      </c>
      <c r="G7" s="1437">
        <f>SUM('13.sz.melléklet'!E20)</f>
        <v>34649</v>
      </c>
      <c r="H7" s="1061">
        <f>SUM('13.sz.melléklet'!E21)</f>
        <v>20927</v>
      </c>
    </row>
    <row r="8" spans="1:9" x14ac:dyDescent="0.2">
      <c r="A8" s="1131" t="s">
        <v>511</v>
      </c>
      <c r="B8" s="73"/>
      <c r="C8" s="611"/>
      <c r="D8" s="1418">
        <f>SUM('13.sz.melléklet'!F40)</f>
        <v>519</v>
      </c>
      <c r="E8" s="387" t="s">
        <v>354</v>
      </c>
      <c r="F8" s="11"/>
      <c r="G8" s="498"/>
      <c r="H8" s="611"/>
    </row>
    <row r="9" spans="1:9" ht="13.5" thickBot="1" x14ac:dyDescent="0.25">
      <c r="A9" s="388"/>
      <c r="B9" s="389"/>
      <c r="C9" s="625"/>
      <c r="D9" s="1419"/>
      <c r="E9" s="387" t="s">
        <v>242</v>
      </c>
      <c r="F9" s="11"/>
      <c r="G9" s="498"/>
      <c r="H9" s="625"/>
    </row>
    <row r="10" spans="1:9" ht="13.5" thickBot="1" x14ac:dyDescent="0.25">
      <c r="A10" s="390" t="s">
        <v>205</v>
      </c>
      <c r="B10" s="398">
        <f>SUM(B6:B9)</f>
        <v>14654</v>
      </c>
      <c r="C10" s="1299">
        <f>SUM(C6:C9)</f>
        <v>14682</v>
      </c>
      <c r="D10" s="1429">
        <f>SUM(D5:D9)</f>
        <v>9309</v>
      </c>
      <c r="E10" s="401" t="s">
        <v>208</v>
      </c>
      <c r="F10" s="1062">
        <f>SUM(F5:F9)</f>
        <v>130123</v>
      </c>
      <c r="G10" s="1438">
        <f>SUM(G5:G9)</f>
        <v>150631</v>
      </c>
      <c r="H10" s="1284">
        <f>SUM(H5:H9)</f>
        <v>101211</v>
      </c>
    </row>
    <row r="11" spans="1:9" x14ac:dyDescent="0.2">
      <c r="A11" s="62" t="s">
        <v>105</v>
      </c>
      <c r="B11" s="72"/>
      <c r="C11" s="623"/>
      <c r="D11" s="397"/>
      <c r="E11" s="393" t="s">
        <v>209</v>
      </c>
      <c r="F11" s="10">
        <f>SUM('13.a.sz. melléklet'!D11)</f>
        <v>0</v>
      </c>
      <c r="G11" s="488">
        <f>SUM('13.a.sz. melléklet'!E11)</f>
        <v>0</v>
      </c>
      <c r="H11" s="623"/>
    </row>
    <row r="12" spans="1:9" x14ac:dyDescent="0.2">
      <c r="A12" s="58" t="s">
        <v>352</v>
      </c>
      <c r="B12" s="73"/>
      <c r="C12" s="611"/>
      <c r="D12" s="80"/>
      <c r="E12" s="387" t="s">
        <v>355</v>
      </c>
      <c r="F12" s="11">
        <f>SUM('13.a.sz. melléklet'!I11)</f>
        <v>2100</v>
      </c>
      <c r="G12" s="498">
        <f>SUM('13.a.sz. melléklet'!J11)</f>
        <v>800</v>
      </c>
      <c r="H12" s="1061">
        <f>SUM('13.sz.melléklet'!F21)</f>
        <v>2852</v>
      </c>
    </row>
    <row r="13" spans="1:9" ht="13.5" thickBot="1" x14ac:dyDescent="0.25">
      <c r="A13" s="480"/>
      <c r="B13" s="395"/>
      <c r="C13" s="625"/>
      <c r="D13" s="1419"/>
      <c r="E13" s="392" t="s">
        <v>335</v>
      </c>
      <c r="F13" s="484"/>
      <c r="G13" s="1439"/>
      <c r="H13" s="625"/>
    </row>
    <row r="14" spans="1:9" ht="13.5" thickBot="1" x14ac:dyDescent="0.25">
      <c r="A14" s="390" t="s">
        <v>14</v>
      </c>
      <c r="B14" s="391">
        <f>SUM(B11:B12)</f>
        <v>0</v>
      </c>
      <c r="C14" s="1421">
        <f>SUM(C12:C13)</f>
        <v>0</v>
      </c>
      <c r="D14" s="1430">
        <f>SUM(D12:D13)</f>
        <v>0</v>
      </c>
      <c r="E14" s="401" t="s">
        <v>210</v>
      </c>
      <c r="F14" s="406">
        <f>SUM(F11:F13)</f>
        <v>2100</v>
      </c>
      <c r="G14" s="1438">
        <f>SUM(G11:G13)</f>
        <v>800</v>
      </c>
      <c r="H14" s="1447">
        <f>SUM(H11:H13)</f>
        <v>2852</v>
      </c>
    </row>
    <row r="15" spans="1:9" x14ac:dyDescent="0.2">
      <c r="A15" s="482"/>
      <c r="B15" s="395"/>
      <c r="C15" s="623"/>
      <c r="D15" s="397"/>
      <c r="E15" s="1422"/>
      <c r="F15" s="1057"/>
      <c r="G15" s="1440"/>
      <c r="H15" s="623"/>
    </row>
    <row r="16" spans="1:9" ht="13.5" thickBot="1" x14ac:dyDescent="0.25">
      <c r="A16" s="388" t="s">
        <v>206</v>
      </c>
      <c r="B16" s="481">
        <f>SUM('13.sz.melléklet'!E38)</f>
        <v>117569</v>
      </c>
      <c r="C16" s="1050">
        <f>SUM('13.sz.melléklet'!E39)</f>
        <v>138889</v>
      </c>
      <c r="D16" s="1308">
        <f>SUM('13.sz.melléklet'!E40)</f>
        <v>95289</v>
      </c>
      <c r="E16" s="1423"/>
      <c r="F16" s="74"/>
      <c r="G16" s="1441"/>
      <c r="H16" s="625"/>
    </row>
    <row r="17" spans="1:8" ht="13.5" thickBot="1" x14ac:dyDescent="0.25">
      <c r="A17" s="390" t="s">
        <v>356</v>
      </c>
      <c r="B17" s="398">
        <f>SUM(B16:B16)</f>
        <v>117569</v>
      </c>
      <c r="C17" s="1299">
        <f>SUM(C16)</f>
        <v>138889</v>
      </c>
      <c r="D17" s="1299">
        <f>SUM(D16)</f>
        <v>95289</v>
      </c>
      <c r="E17" s="401" t="s">
        <v>130</v>
      </c>
      <c r="F17" s="406">
        <f>SUM(F15:F16)</f>
        <v>0</v>
      </c>
      <c r="G17" s="1438">
        <f>SUM(G16)</f>
        <v>0</v>
      </c>
      <c r="H17" s="1447">
        <f>SUM(H15:H16)</f>
        <v>0</v>
      </c>
    </row>
    <row r="18" spans="1:8" ht="13.5" thickBot="1" x14ac:dyDescent="0.25">
      <c r="C18" s="391"/>
      <c r="D18" s="71"/>
      <c r="H18" s="1417"/>
    </row>
    <row r="19" spans="1:8" ht="13.5" thickBot="1" x14ac:dyDescent="0.25">
      <c r="A19" s="390"/>
      <c r="B19" s="398"/>
      <c r="C19" s="405"/>
      <c r="D19" s="405"/>
      <c r="E19" s="401"/>
      <c r="F19" s="406"/>
      <c r="G19" s="1438"/>
      <c r="H19" s="1417"/>
    </row>
    <row r="20" spans="1:8" ht="13.5" thickBot="1" x14ac:dyDescent="0.25">
      <c r="A20" s="390" t="s">
        <v>207</v>
      </c>
      <c r="B20" s="398">
        <f>B10+B14+B17</f>
        <v>132223</v>
      </c>
      <c r="C20" s="1299">
        <f>SUM(C17+C14+C10)</f>
        <v>153571</v>
      </c>
      <c r="D20" s="1299">
        <f>SUM(D10+D17)</f>
        <v>104598</v>
      </c>
      <c r="E20" s="401" t="s">
        <v>216</v>
      </c>
      <c r="F20" s="1062">
        <f>SUM(+F14+F10)</f>
        <v>132223</v>
      </c>
      <c r="G20" s="1438">
        <f>SUM(G10+G14+G17)</f>
        <v>151431</v>
      </c>
      <c r="H20" s="1284">
        <f>SUM(H10+H14+H17)</f>
        <v>104063</v>
      </c>
    </row>
    <row r="21" spans="1:8" ht="13.5" thickBot="1" x14ac:dyDescent="0.25">
      <c r="A21" s="169"/>
      <c r="B21" s="403"/>
      <c r="C21" s="403"/>
      <c r="D21" s="403"/>
      <c r="E21" s="404"/>
      <c r="F21" s="404"/>
      <c r="G21" s="404"/>
      <c r="H21" s="615"/>
    </row>
    <row r="22" spans="1:8" ht="13.5" thickBot="1" x14ac:dyDescent="0.25">
      <c r="A22" s="2019" t="s">
        <v>57</v>
      </c>
      <c r="B22" s="2020"/>
      <c r="C22" s="1264"/>
      <c r="D22" s="1264"/>
      <c r="E22" s="2021" t="s">
        <v>57</v>
      </c>
      <c r="F22" s="2021"/>
      <c r="G22" s="2022"/>
      <c r="H22" s="1417"/>
    </row>
    <row r="23" spans="1:8" ht="13.5" thickBot="1" x14ac:dyDescent="0.25">
      <c r="A23" s="396"/>
      <c r="B23" s="397"/>
      <c r="C23" s="71"/>
      <c r="D23" s="71"/>
      <c r="E23" s="394"/>
      <c r="F23" s="4"/>
      <c r="G23" s="485"/>
      <c r="H23" s="615"/>
    </row>
    <row r="24" spans="1:8" x14ac:dyDescent="0.2">
      <c r="A24" s="396"/>
      <c r="B24" s="397"/>
      <c r="C24" s="623"/>
      <c r="D24" s="397"/>
      <c r="E24" s="1424" t="s">
        <v>10</v>
      </c>
      <c r="F24" s="1065">
        <f>SUM('14.sz.melléklet'!C23)</f>
        <v>80828</v>
      </c>
      <c r="G24" s="1442">
        <f>SUM('14.sz.melléklet'!C24)</f>
        <v>76844</v>
      </c>
      <c r="H24" s="1416">
        <f>SUM('14.sz.melléklet'!C25)</f>
        <v>58463</v>
      </c>
    </row>
    <row r="25" spans="1:8" x14ac:dyDescent="0.2">
      <c r="A25" s="58" t="s">
        <v>192</v>
      </c>
      <c r="B25" s="73"/>
      <c r="C25" s="611"/>
      <c r="D25" s="80"/>
      <c r="E25" s="387" t="s">
        <v>353</v>
      </c>
      <c r="F25" s="1066">
        <f>SUM('14.sz.melléklet'!D23)</f>
        <v>22972</v>
      </c>
      <c r="G25" s="1437">
        <f>SUM('14.sz.melléklet'!D24)</f>
        <v>21899</v>
      </c>
      <c r="H25" s="1061">
        <f>SUM('14.sz.melléklet'!D25)</f>
        <v>16570</v>
      </c>
    </row>
    <row r="26" spans="1:8" ht="13.5" thickBot="1" x14ac:dyDescent="0.25">
      <c r="A26" s="58" t="s">
        <v>351</v>
      </c>
      <c r="B26" s="1060">
        <f>SUM('14.sz.melléklet'!C46)</f>
        <v>14389</v>
      </c>
      <c r="C26" s="1061">
        <f>SUM('14.sz.melléklet'!C47)</f>
        <v>15310</v>
      </c>
      <c r="D26" s="1418">
        <f>SUM('14.sz.melléklet'!C48)</f>
        <v>9243</v>
      </c>
      <c r="E26" s="387" t="s">
        <v>21</v>
      </c>
      <c r="F26" s="1066">
        <f>SUM('14.sz.melléklet'!E23)</f>
        <v>39457</v>
      </c>
      <c r="G26" s="1437">
        <f>SUM('14.sz.melléklet'!E24)</f>
        <v>39599</v>
      </c>
      <c r="H26" s="1050">
        <f>SUM('14.sz.melléklet'!E25)</f>
        <v>20878</v>
      </c>
    </row>
    <row r="27" spans="1:8" x14ac:dyDescent="0.2">
      <c r="A27" s="1131" t="s">
        <v>512</v>
      </c>
      <c r="B27" s="73"/>
      <c r="C27" s="611"/>
      <c r="D27" s="1418">
        <f>SUM('14.sz.melléklet'!D48)</f>
        <v>40</v>
      </c>
      <c r="E27" s="387" t="s">
        <v>354</v>
      </c>
      <c r="F27" s="11"/>
      <c r="G27" s="498"/>
      <c r="H27" s="614"/>
    </row>
    <row r="28" spans="1:8" ht="13.5" thickBot="1" x14ac:dyDescent="0.25">
      <c r="A28" s="388"/>
      <c r="B28" s="389"/>
      <c r="C28" s="625"/>
      <c r="D28" s="1419"/>
      <c r="E28" s="387" t="s">
        <v>242</v>
      </c>
      <c r="F28" s="11"/>
      <c r="G28" s="498"/>
      <c r="H28" s="612"/>
    </row>
    <row r="29" spans="1:8" ht="13.5" thickBot="1" x14ac:dyDescent="0.25">
      <c r="A29" s="390" t="s">
        <v>205</v>
      </c>
      <c r="B29" s="398">
        <f>SUM(B25:B28)</f>
        <v>14389</v>
      </c>
      <c r="C29" s="1299">
        <f>SUM(C26:C28)</f>
        <v>15310</v>
      </c>
      <c r="D29" s="1429">
        <f>SUM(D26:D28)</f>
        <v>9283</v>
      </c>
      <c r="E29" s="401" t="s">
        <v>208</v>
      </c>
      <c r="F29" s="1062">
        <f>SUM(F24:F28)</f>
        <v>143257</v>
      </c>
      <c r="G29" s="1438">
        <f>SUM(G24:G28)</f>
        <v>138342</v>
      </c>
      <c r="H29" s="1284">
        <f>SUM(H24:H28)</f>
        <v>95911</v>
      </c>
    </row>
    <row r="30" spans="1:8" x14ac:dyDescent="0.2">
      <c r="A30" s="62" t="s">
        <v>105</v>
      </c>
      <c r="B30" s="72"/>
      <c r="C30" s="623"/>
      <c r="D30" s="397"/>
      <c r="E30" s="393" t="s">
        <v>209</v>
      </c>
      <c r="F30" s="10">
        <f>SUM('14.a.sz. melléklet'!D18)</f>
        <v>0</v>
      </c>
      <c r="G30" s="488" t="e">
        <f>SUM('14.a.sz. melléklet'!E18)</f>
        <v>#REF!</v>
      </c>
      <c r="H30" s="614"/>
    </row>
    <row r="31" spans="1:8" x14ac:dyDescent="0.2">
      <c r="A31" s="58" t="s">
        <v>352</v>
      </c>
      <c r="B31" s="73"/>
      <c r="C31" s="611"/>
      <c r="D31" s="80"/>
      <c r="E31" s="387" t="s">
        <v>355</v>
      </c>
      <c r="F31" s="11">
        <f>SUM('14.a.sz. melléklet'!I18)</f>
        <v>2077</v>
      </c>
      <c r="G31" s="498">
        <f>SUM('14.a.sz. melléklet'!J18)</f>
        <v>309</v>
      </c>
      <c r="H31" s="1061">
        <f>SUM('14.sz.melléklet'!F25)</f>
        <v>1521</v>
      </c>
    </row>
    <row r="32" spans="1:8" ht="13.5" thickBot="1" x14ac:dyDescent="0.25">
      <c r="A32" s="480"/>
      <c r="B32" s="395"/>
      <c r="C32" s="625"/>
      <c r="D32" s="1419"/>
      <c r="E32" s="392" t="s">
        <v>335</v>
      </c>
      <c r="F32" s="484"/>
      <c r="G32" s="1439"/>
      <c r="H32" s="612"/>
    </row>
    <row r="33" spans="1:8" ht="13.5" thickBot="1" x14ac:dyDescent="0.25">
      <c r="A33" s="390" t="s">
        <v>14</v>
      </c>
      <c r="B33" s="391">
        <f>SUM(B30:B31)</f>
        <v>0</v>
      </c>
      <c r="C33" s="1421">
        <f>SUM(C31:C32)</f>
        <v>0</v>
      </c>
      <c r="D33" s="1430">
        <f>SUM(D32)</f>
        <v>0</v>
      </c>
      <c r="E33" s="401" t="s">
        <v>210</v>
      </c>
      <c r="F33" s="406">
        <f>SUM(F30:F32)</f>
        <v>2077</v>
      </c>
      <c r="G33" s="1438" t="e">
        <f>SUM(G30:G32)</f>
        <v>#REF!</v>
      </c>
      <c r="H33" s="1447">
        <f>SUM(H30:H32)</f>
        <v>1521</v>
      </c>
    </row>
    <row r="34" spans="1:8" x14ac:dyDescent="0.2">
      <c r="A34" s="1067" t="s">
        <v>440</v>
      </c>
      <c r="B34" s="395"/>
      <c r="C34" s="623">
        <v>1</v>
      </c>
      <c r="D34" s="397">
        <v>1</v>
      </c>
      <c r="E34" s="1422"/>
      <c r="F34" s="1057"/>
      <c r="G34" s="1440"/>
      <c r="H34" s="614"/>
    </row>
    <row r="35" spans="1:8" ht="13.5" thickBot="1" x14ac:dyDescent="0.25">
      <c r="A35" s="388" t="s">
        <v>206</v>
      </c>
      <c r="B35" s="481">
        <f>SUM('14.sz.melléklet'!E46)</f>
        <v>130945</v>
      </c>
      <c r="C35" s="1050">
        <f>SUM('14.sz.melléklet'!D80)-1</f>
        <v>124680</v>
      </c>
      <c r="D35" s="1308">
        <f>SUM('14.sz.melléklet'!E48)-1</f>
        <v>88211</v>
      </c>
      <c r="E35" s="1423"/>
      <c r="F35" s="74"/>
      <c r="G35" s="1441"/>
      <c r="H35" s="612"/>
    </row>
    <row r="36" spans="1:8" ht="13.5" thickBot="1" x14ac:dyDescent="0.25">
      <c r="A36" s="390" t="s">
        <v>356</v>
      </c>
      <c r="B36" s="398">
        <f>SUM(B35:B35)</f>
        <v>130945</v>
      </c>
      <c r="C36" s="405">
        <f>SUM(C34:C35)</f>
        <v>124681</v>
      </c>
      <c r="D36" s="405">
        <f>SUM(D34:D35)</f>
        <v>88212</v>
      </c>
      <c r="E36" s="401" t="s">
        <v>130</v>
      </c>
      <c r="F36" s="406">
        <f>SUM(F35)</f>
        <v>0</v>
      </c>
      <c r="G36" s="1438">
        <f>SUM(G35)</f>
        <v>0</v>
      </c>
      <c r="H36" s="1447">
        <f>SUM(H35)</f>
        <v>0</v>
      </c>
    </row>
    <row r="37" spans="1:8" ht="13.5" thickBot="1" x14ac:dyDescent="0.25">
      <c r="C37" s="71"/>
      <c r="D37" s="71"/>
      <c r="H37" s="614"/>
    </row>
    <row r="38" spans="1:8" ht="13.5" thickBot="1" x14ac:dyDescent="0.25">
      <c r="A38" s="390"/>
      <c r="B38" s="398"/>
      <c r="C38" s="405"/>
      <c r="D38" s="405"/>
      <c r="E38" s="401"/>
      <c r="F38" s="406"/>
      <c r="G38" s="1438"/>
      <c r="H38" s="612"/>
    </row>
    <row r="39" spans="1:8" ht="13.5" thickBot="1" x14ac:dyDescent="0.25">
      <c r="A39" s="390" t="s">
        <v>207</v>
      </c>
      <c r="B39" s="398">
        <f>B29+B33+B36</f>
        <v>145334</v>
      </c>
      <c r="C39" s="1299">
        <f>SUM(C36+C33+C29)</f>
        <v>139991</v>
      </c>
      <c r="D39" s="1299">
        <f>SUM(D29+D36)</f>
        <v>97495</v>
      </c>
      <c r="E39" s="401" t="s">
        <v>216</v>
      </c>
      <c r="F39" s="1062">
        <f>SUM(+F33+F29)</f>
        <v>145334</v>
      </c>
      <c r="G39" s="1438" t="e">
        <f>G29+G33+G35+G36</f>
        <v>#REF!</v>
      </c>
      <c r="H39" s="1284">
        <f>SUM(H29+H33+H36)</f>
        <v>97432</v>
      </c>
    </row>
    <row r="40" spans="1:8" ht="13.5" thickBot="1" x14ac:dyDescent="0.25">
      <c r="A40" s="155"/>
      <c r="B40" s="405"/>
      <c r="C40" s="405"/>
      <c r="D40" s="405"/>
      <c r="E40" s="406"/>
      <c r="F40" s="406"/>
      <c r="G40" s="406"/>
      <c r="H40" s="615"/>
    </row>
    <row r="41" spans="1:8" ht="13.5" thickBot="1" x14ac:dyDescent="0.25">
      <c r="A41" s="2019" t="s">
        <v>214</v>
      </c>
      <c r="B41" s="2020"/>
      <c r="C41" s="1264"/>
      <c r="D41" s="1264"/>
      <c r="E41" s="2021" t="s">
        <v>214</v>
      </c>
      <c r="F41" s="2021"/>
      <c r="G41" s="2022"/>
      <c r="H41" s="1417"/>
    </row>
    <row r="42" spans="1:8" ht="13.5" thickBot="1" x14ac:dyDescent="0.25">
      <c r="A42" s="396"/>
      <c r="B42" s="397"/>
      <c r="C42" s="71"/>
      <c r="D42" s="71"/>
      <c r="E42" s="393"/>
      <c r="F42" s="10"/>
      <c r="G42" s="488"/>
      <c r="H42" s="614"/>
    </row>
    <row r="43" spans="1:8" x14ac:dyDescent="0.2">
      <c r="A43" s="396"/>
      <c r="B43" s="397"/>
      <c r="C43" s="623"/>
      <c r="D43" s="397"/>
      <c r="E43" s="393" t="s">
        <v>10</v>
      </c>
      <c r="F43" s="1063">
        <f>SUM('15.sz.melléklet'!C15)</f>
        <v>18883</v>
      </c>
      <c r="G43" s="1436">
        <f>SUM('15.sz.melléklet'!C16)</f>
        <v>20487</v>
      </c>
      <c r="H43" s="1061">
        <f>SUM('15.sz.melléklet'!C17)</f>
        <v>15711</v>
      </c>
    </row>
    <row r="44" spans="1:8" x14ac:dyDescent="0.2">
      <c r="A44" s="58" t="s">
        <v>192</v>
      </c>
      <c r="B44" s="73"/>
      <c r="C44" s="611"/>
      <c r="D44" s="80"/>
      <c r="E44" s="387" t="s">
        <v>353</v>
      </c>
      <c r="F44" s="1064">
        <f>SUM('15.sz.melléklet'!D15)</f>
        <v>5735</v>
      </c>
      <c r="G44" s="1437">
        <f>SUM('15.sz.melléklet'!D16)</f>
        <v>5484</v>
      </c>
      <c r="H44" s="1061">
        <f>SUM('15.sz.melléklet'!D17)</f>
        <v>4745</v>
      </c>
    </row>
    <row r="45" spans="1:8" x14ac:dyDescent="0.2">
      <c r="A45" s="58" t="s">
        <v>351</v>
      </c>
      <c r="B45" s="1060">
        <f>SUM('15.sz.melléklet'!C34)</f>
        <v>6705</v>
      </c>
      <c r="C45" s="1061">
        <f>SUM('15.sz.melléklet'!C35)</f>
        <v>6705</v>
      </c>
      <c r="D45" s="1418">
        <f>SUM('15.sz.melléklet'!C36)</f>
        <v>3922</v>
      </c>
      <c r="E45" s="387" t="s">
        <v>21</v>
      </c>
      <c r="F45" s="1064">
        <f>SUM('15.sz.melléklet'!E15)</f>
        <v>21240</v>
      </c>
      <c r="G45" s="1437">
        <f>SUM('15.sz.melléklet'!E16)</f>
        <v>21144</v>
      </c>
      <c r="H45" s="1061">
        <f>SUM('15.sz.melléklet'!E17)</f>
        <v>13738</v>
      </c>
    </row>
    <row r="46" spans="1:8" x14ac:dyDescent="0.2">
      <c r="A46" s="1131" t="s">
        <v>513</v>
      </c>
      <c r="B46" s="73"/>
      <c r="C46" s="611"/>
      <c r="D46" s="1418">
        <f>SUM('15.sz.melléklet'!E36)</f>
        <v>1617</v>
      </c>
      <c r="E46" s="387" t="s">
        <v>354</v>
      </c>
      <c r="F46" s="11"/>
      <c r="G46" s="498"/>
      <c r="H46" s="611"/>
    </row>
    <row r="47" spans="1:8" ht="13.5" thickBot="1" x14ac:dyDescent="0.25">
      <c r="A47" s="388"/>
      <c r="B47" s="389"/>
      <c r="C47" s="625"/>
      <c r="D47" s="1419"/>
      <c r="E47" s="387" t="s">
        <v>242</v>
      </c>
      <c r="F47" s="11"/>
      <c r="G47" s="498"/>
      <c r="H47" s="612"/>
    </row>
    <row r="48" spans="1:8" ht="13.5" thickBot="1" x14ac:dyDescent="0.25">
      <c r="A48" s="390" t="s">
        <v>205</v>
      </c>
      <c r="B48" s="398">
        <f>SUM(B44:B47)</f>
        <v>6705</v>
      </c>
      <c r="C48" s="1299">
        <f>SUM(C45:C47)</f>
        <v>6705</v>
      </c>
      <c r="D48" s="1429">
        <f>SUM(D44:D47)</f>
        <v>5539</v>
      </c>
      <c r="E48" s="401" t="s">
        <v>208</v>
      </c>
      <c r="F48" s="1062">
        <f>SUM(F43:F47)</f>
        <v>45858</v>
      </c>
      <c r="G48" s="1438">
        <f>SUM(G43:G47)</f>
        <v>47115</v>
      </c>
      <c r="H48" s="1284">
        <f>SUM(H43:H47)</f>
        <v>34194</v>
      </c>
    </row>
    <row r="49" spans="1:8" x14ac:dyDescent="0.2">
      <c r="A49" s="62" t="s">
        <v>105</v>
      </c>
      <c r="B49" s="72"/>
      <c r="C49" s="623"/>
      <c r="D49" s="397"/>
      <c r="E49" s="393" t="s">
        <v>209</v>
      </c>
      <c r="F49" s="10">
        <f>SUM('15.a.sz.melléklet'!D11)</f>
        <v>0</v>
      </c>
      <c r="G49" s="488">
        <f>SUM('15.a.sz.melléklet'!E11)</f>
        <v>0</v>
      </c>
      <c r="H49" s="614"/>
    </row>
    <row r="50" spans="1:8" x14ac:dyDescent="0.2">
      <c r="A50" s="58" t="s">
        <v>352</v>
      </c>
      <c r="B50" s="73"/>
      <c r="C50" s="611"/>
      <c r="D50" s="80"/>
      <c r="E50" s="387" t="s">
        <v>355</v>
      </c>
      <c r="F50" s="11">
        <f>SUM('15.a.sz.melléklet'!I11)</f>
        <v>5038</v>
      </c>
      <c r="G50" s="498">
        <f>SUM('15.a.sz.melléklet'!J11)</f>
        <v>2818</v>
      </c>
      <c r="H50" s="1061">
        <f>SUM('15.sz.melléklet'!F17)</f>
        <v>2187</v>
      </c>
    </row>
    <row r="51" spans="1:8" ht="13.5" thickBot="1" x14ac:dyDescent="0.25">
      <c r="A51" s="480"/>
      <c r="B51" s="395"/>
      <c r="C51" s="625"/>
      <c r="D51" s="1419"/>
      <c r="E51" s="392" t="s">
        <v>335</v>
      </c>
      <c r="F51" s="484"/>
      <c r="G51" s="1439"/>
      <c r="H51" s="612"/>
    </row>
    <row r="52" spans="1:8" ht="13.5" thickBot="1" x14ac:dyDescent="0.25">
      <c r="A52" s="390" t="s">
        <v>14</v>
      </c>
      <c r="B52" s="391">
        <f>SUM(B49:B50)</f>
        <v>0</v>
      </c>
      <c r="C52" s="1421">
        <f>SUM(C49:C51)</f>
        <v>0</v>
      </c>
      <c r="D52" s="71">
        <v>0</v>
      </c>
      <c r="E52" s="401" t="s">
        <v>210</v>
      </c>
      <c r="F52" s="406">
        <f>SUM(F49:F51)</f>
        <v>5038</v>
      </c>
      <c r="G52" s="1438">
        <f>SUM(G49:G51)</f>
        <v>2818</v>
      </c>
      <c r="H52" s="1447">
        <f>SUM(H49:H51)</f>
        <v>2187</v>
      </c>
    </row>
    <row r="53" spans="1:8" x14ac:dyDescent="0.2">
      <c r="A53" s="482"/>
      <c r="B53" s="395"/>
      <c r="C53" s="298"/>
      <c r="D53" s="1420"/>
      <c r="E53" s="1422"/>
      <c r="F53" s="1057"/>
      <c r="G53" s="1440"/>
      <c r="H53" s="614"/>
    </row>
    <row r="54" spans="1:8" ht="13.5" thickBot="1" x14ac:dyDescent="0.25">
      <c r="A54" s="388" t="s">
        <v>206</v>
      </c>
      <c r="B54" s="481">
        <f>SUM('15.sz.melléklet'!D34)</f>
        <v>44191</v>
      </c>
      <c r="C54" s="298">
        <f>SUM('15.sz.melléklet'!D35)</f>
        <v>44678</v>
      </c>
      <c r="D54" s="1308">
        <f>SUM('15.sz.melléklet'!D36)</f>
        <v>31196</v>
      </c>
      <c r="E54" s="1423"/>
      <c r="F54" s="74"/>
      <c r="G54" s="1441"/>
      <c r="H54" s="612"/>
    </row>
    <row r="55" spans="1:8" ht="13.5" thickBot="1" x14ac:dyDescent="0.25">
      <c r="A55" s="390" t="s">
        <v>356</v>
      </c>
      <c r="B55" s="398">
        <f>SUM(B54:B54)</f>
        <v>44191</v>
      </c>
      <c r="C55" s="1299">
        <f>SUM(C54)</f>
        <v>44678</v>
      </c>
      <c r="D55" s="1431">
        <f>SUM(D54)</f>
        <v>31196</v>
      </c>
      <c r="E55" s="401" t="s">
        <v>130</v>
      </c>
      <c r="F55" s="406">
        <f>SUM(F54)</f>
        <v>0</v>
      </c>
      <c r="G55" s="1438">
        <f>SUM(G54)</f>
        <v>0</v>
      </c>
      <c r="H55" s="1417">
        <v>0</v>
      </c>
    </row>
    <row r="56" spans="1:8" ht="13.5" thickBot="1" x14ac:dyDescent="0.25">
      <c r="C56" s="71"/>
      <c r="D56" s="71"/>
      <c r="H56" s="614"/>
    </row>
    <row r="57" spans="1:8" ht="13.5" thickBot="1" x14ac:dyDescent="0.25">
      <c r="A57" s="390"/>
      <c r="B57" s="398"/>
      <c r="C57" s="405"/>
      <c r="D57" s="405"/>
      <c r="E57" s="401"/>
      <c r="F57" s="406"/>
      <c r="G57" s="1438"/>
      <c r="H57" s="612"/>
    </row>
    <row r="58" spans="1:8" ht="13.5" thickBot="1" x14ac:dyDescent="0.25">
      <c r="A58" s="390" t="s">
        <v>207</v>
      </c>
      <c r="B58" s="398">
        <f>B48+B52+B55</f>
        <v>50896</v>
      </c>
      <c r="C58" s="1299">
        <f>SUM(C55+C52+C48)</f>
        <v>51383</v>
      </c>
      <c r="D58" s="1299">
        <f>SUM(D48+D55)</f>
        <v>36735</v>
      </c>
      <c r="E58" s="401" t="s">
        <v>216</v>
      </c>
      <c r="F58" s="1062">
        <f>SUM(F55+F52+F48)</f>
        <v>50896</v>
      </c>
      <c r="G58" s="1438">
        <f>G48+G52+G54+G55</f>
        <v>49933</v>
      </c>
      <c r="H58" s="1284">
        <f>SUM(H48+H52+H55)</f>
        <v>36381</v>
      </c>
    </row>
    <row r="59" spans="1:8" ht="13.5" thickBot="1" x14ac:dyDescent="0.25">
      <c r="A59" s="155"/>
      <c r="B59" s="405"/>
      <c r="C59" s="405"/>
      <c r="D59" s="405"/>
      <c r="E59" s="406"/>
      <c r="F59" s="406"/>
      <c r="G59" s="406"/>
      <c r="H59" s="615"/>
    </row>
    <row r="60" spans="1:8" ht="13.5" thickBot="1" x14ac:dyDescent="0.25">
      <c r="A60" s="2019" t="s">
        <v>215</v>
      </c>
      <c r="B60" s="2020"/>
      <c r="C60" s="1264"/>
      <c r="D60" s="1264"/>
      <c r="E60" s="2021" t="s">
        <v>215</v>
      </c>
      <c r="F60" s="2021"/>
      <c r="G60" s="2022"/>
      <c r="H60" s="1417"/>
    </row>
    <row r="61" spans="1:8" ht="13.5" thickBot="1" x14ac:dyDescent="0.25">
      <c r="A61" s="396"/>
      <c r="B61" s="397"/>
      <c r="C61" s="71"/>
      <c r="D61" s="71"/>
      <c r="E61" s="394"/>
      <c r="F61" s="4"/>
      <c r="G61" s="485"/>
      <c r="H61" s="615"/>
    </row>
    <row r="62" spans="1:8" x14ac:dyDescent="0.2">
      <c r="A62" s="396"/>
      <c r="B62" s="397"/>
      <c r="C62" s="623"/>
      <c r="D62" s="397"/>
      <c r="E62" s="1424" t="s">
        <v>10</v>
      </c>
      <c r="F62" s="1065">
        <f>SUM('16.sz. melléklet'!C23)</f>
        <v>38494</v>
      </c>
      <c r="G62" s="1442">
        <f>SUM('16.sz. melléklet'!C24)</f>
        <v>40624</v>
      </c>
      <c r="H62" s="1416">
        <f>SUM('16.sz. melléklet'!C25)</f>
        <v>35111</v>
      </c>
    </row>
    <row r="63" spans="1:8" x14ac:dyDescent="0.2">
      <c r="A63" s="58" t="s">
        <v>192</v>
      </c>
      <c r="B63" s="73"/>
      <c r="C63" s="611"/>
      <c r="D63" s="80"/>
      <c r="E63" s="387" t="s">
        <v>353</v>
      </c>
      <c r="F63" s="1066">
        <f>SUM('16.sz. melléklet'!D23)</f>
        <v>10990</v>
      </c>
      <c r="G63" s="1437">
        <f>SUM('16.sz. melléklet'!D24)</f>
        <v>11628</v>
      </c>
      <c r="H63" s="1061">
        <f>SUM('16.sz. melléklet'!D25)</f>
        <v>9063</v>
      </c>
    </row>
    <row r="64" spans="1:8" x14ac:dyDescent="0.2">
      <c r="A64" s="58" t="s">
        <v>351</v>
      </c>
      <c r="B64" s="1060">
        <f>SUM('16.sz. melléklet'!C42)</f>
        <v>300</v>
      </c>
      <c r="C64" s="1061">
        <f>SUM('16.sz. melléklet'!C43)</f>
        <v>300</v>
      </c>
      <c r="D64" s="1418">
        <f>SUM('16.sz. melléklet'!C44)</f>
        <v>523</v>
      </c>
      <c r="E64" s="387" t="s">
        <v>21</v>
      </c>
      <c r="F64" s="1066">
        <f>SUM('16.sz. melléklet'!E23)</f>
        <v>39863</v>
      </c>
      <c r="G64" s="1437">
        <f>SUM('16.sz. melléklet'!E24)</f>
        <v>38869</v>
      </c>
      <c r="H64" s="1061">
        <f>SUM('16.sz. melléklet'!E25)</f>
        <v>20840</v>
      </c>
    </row>
    <row r="65" spans="1:8" x14ac:dyDescent="0.2">
      <c r="A65" s="58"/>
      <c r="B65" s="73"/>
      <c r="C65" s="611"/>
      <c r="D65" s="80"/>
      <c r="E65" s="387" t="s">
        <v>354</v>
      </c>
      <c r="F65" s="15"/>
      <c r="G65" s="498"/>
      <c r="H65" s="611"/>
    </row>
    <row r="66" spans="1:8" ht="13.5" thickBot="1" x14ac:dyDescent="0.25">
      <c r="A66" s="388"/>
      <c r="B66" s="389"/>
      <c r="C66" s="625"/>
      <c r="D66" s="1419"/>
      <c r="E66" s="1423" t="s">
        <v>242</v>
      </c>
      <c r="F66" s="74"/>
      <c r="G66" s="1441"/>
      <c r="H66" s="625"/>
    </row>
    <row r="67" spans="1:8" ht="13.5" thickBot="1" x14ac:dyDescent="0.25">
      <c r="A67" s="390" t="s">
        <v>205</v>
      </c>
      <c r="B67" s="398">
        <f>SUM(B63:B66)</f>
        <v>300</v>
      </c>
      <c r="C67" s="1299">
        <f>SUM(C64:C66)</f>
        <v>300</v>
      </c>
      <c r="D67" s="1432">
        <f>SUM(D62:D66)</f>
        <v>523</v>
      </c>
      <c r="E67" s="401" t="s">
        <v>208</v>
      </c>
      <c r="F67" s="1062">
        <f>SUM(F62:F66)</f>
        <v>89347</v>
      </c>
      <c r="G67" s="1438">
        <f>SUM(G62:G66)</f>
        <v>91121</v>
      </c>
      <c r="H67" s="1284">
        <f>SUM(H62:H66)</f>
        <v>65014</v>
      </c>
    </row>
    <row r="68" spans="1:8" x14ac:dyDescent="0.2">
      <c r="A68" s="62" t="s">
        <v>105</v>
      </c>
      <c r="B68" s="72"/>
      <c r="C68" s="623"/>
      <c r="D68" s="397"/>
      <c r="E68" s="393" t="s">
        <v>209</v>
      </c>
      <c r="F68" s="10">
        <f>SUM('16.a.sz. melléklet'!D19)</f>
        <v>0</v>
      </c>
      <c r="G68" s="488">
        <f>SUM('16.a.sz. melléklet'!E19)</f>
        <v>0</v>
      </c>
      <c r="H68" s="614"/>
    </row>
    <row r="69" spans="1:8" x14ac:dyDescent="0.2">
      <c r="A69" s="58" t="s">
        <v>352</v>
      </c>
      <c r="B69" s="73"/>
      <c r="C69" s="611"/>
      <c r="D69" s="80"/>
      <c r="E69" s="387" t="s">
        <v>355</v>
      </c>
      <c r="F69" s="11">
        <f>SUM('16.a.sz. melléklet'!I19)</f>
        <v>3937</v>
      </c>
      <c r="G69" s="498">
        <f>SUM('16.a.sz. melléklet'!J19)</f>
        <v>1600</v>
      </c>
      <c r="H69" s="1061">
        <f>SUM('16.sz. melléklet'!F25)</f>
        <v>999</v>
      </c>
    </row>
    <row r="70" spans="1:8" ht="13.5" thickBot="1" x14ac:dyDescent="0.25">
      <c r="A70" s="480"/>
      <c r="B70" s="395"/>
      <c r="C70" s="625"/>
      <c r="D70" s="1419"/>
      <c r="E70" s="392" t="s">
        <v>335</v>
      </c>
      <c r="F70" s="484"/>
      <c r="G70" s="1439"/>
      <c r="H70" s="612"/>
    </row>
    <row r="71" spans="1:8" ht="13.5" thickBot="1" x14ac:dyDescent="0.25">
      <c r="A71" s="390" t="s">
        <v>14</v>
      </c>
      <c r="B71" s="391">
        <f>SUM(B68:B69)</f>
        <v>0</v>
      </c>
      <c r="C71" s="1421">
        <f>SUM(C69:C70)</f>
        <v>0</v>
      </c>
      <c r="D71" s="71">
        <v>0</v>
      </c>
      <c r="E71" s="401" t="s">
        <v>210</v>
      </c>
      <c r="F71" s="406">
        <f>SUM(F68:F70)</f>
        <v>3937</v>
      </c>
      <c r="G71" s="1438">
        <f>SUM(G68:G70)</f>
        <v>1600</v>
      </c>
      <c r="H71" s="1447">
        <f>SUM(H68:H70)</f>
        <v>999</v>
      </c>
    </row>
    <row r="72" spans="1:8" x14ac:dyDescent="0.2">
      <c r="A72" s="482"/>
      <c r="B72" s="395"/>
      <c r="C72" s="71"/>
      <c r="D72" s="397"/>
      <c r="E72" s="1422"/>
      <c r="F72" s="1057"/>
      <c r="G72" s="1440"/>
      <c r="H72" s="614"/>
    </row>
    <row r="73" spans="1:8" ht="13.5" thickBot="1" x14ac:dyDescent="0.25">
      <c r="A73" s="388" t="s">
        <v>206</v>
      </c>
      <c r="B73" s="481">
        <f>SUM('16.sz. melléklet'!D42)</f>
        <v>92984</v>
      </c>
      <c r="C73" s="298">
        <f>SUM('16.sz. melléklet'!D43)</f>
        <v>92421</v>
      </c>
      <c r="D73" s="1308"/>
      <c r="E73" s="1423"/>
      <c r="F73" s="74"/>
      <c r="G73" s="1441"/>
      <c r="H73" s="612"/>
    </row>
    <row r="74" spans="1:8" ht="13.5" thickBot="1" x14ac:dyDescent="0.25">
      <c r="A74" s="390" t="s">
        <v>356</v>
      </c>
      <c r="B74" s="398">
        <f>SUM(B73:B73)</f>
        <v>92984</v>
      </c>
      <c r="C74" s="405">
        <f>SUM(C72:C73)</f>
        <v>92421</v>
      </c>
      <c r="D74" s="1431">
        <f>SUM('16.sz. melléklet'!D44)</f>
        <v>66464</v>
      </c>
      <c r="E74" s="401" t="s">
        <v>130</v>
      </c>
      <c r="F74" s="406">
        <f>SUM(F72:F73)</f>
        <v>0</v>
      </c>
      <c r="G74" s="1438">
        <f>SUM(G73)</f>
        <v>0</v>
      </c>
      <c r="H74" s="1417">
        <v>0</v>
      </c>
    </row>
    <row r="75" spans="1:8" ht="13.5" thickBot="1" x14ac:dyDescent="0.25">
      <c r="C75" s="71"/>
      <c r="D75" s="71"/>
      <c r="H75" s="614"/>
    </row>
    <row r="76" spans="1:8" ht="13.5" thickBot="1" x14ac:dyDescent="0.25">
      <c r="A76" s="390"/>
      <c r="B76" s="398"/>
      <c r="C76" s="405"/>
      <c r="D76" s="405"/>
      <c r="E76" s="401"/>
      <c r="F76" s="406"/>
      <c r="G76" s="1438"/>
      <c r="H76" s="612"/>
    </row>
    <row r="77" spans="1:8" ht="13.5" thickBot="1" x14ac:dyDescent="0.25">
      <c r="A77" s="390" t="s">
        <v>207</v>
      </c>
      <c r="B77" s="398">
        <f>B67+B71+B74</f>
        <v>93284</v>
      </c>
      <c r="C77" s="1299">
        <f>SUM(C74+C71+C67)</f>
        <v>92721</v>
      </c>
      <c r="D77" s="1299">
        <f>SUM(D74+D71+D67)</f>
        <v>66987</v>
      </c>
      <c r="E77" s="401" t="s">
        <v>216</v>
      </c>
      <c r="F77" s="1062">
        <f>SUM(+F71+F67)</f>
        <v>93284</v>
      </c>
      <c r="G77" s="1438">
        <f>G67+G71+G73+G74</f>
        <v>92721</v>
      </c>
      <c r="H77" s="1284">
        <f>SUM(H67+H71+H74)</f>
        <v>66013</v>
      </c>
    </row>
    <row r="78" spans="1:8" ht="6.75" customHeight="1" thickBot="1" x14ac:dyDescent="0.25">
      <c r="A78" s="155"/>
      <c r="B78" s="405"/>
      <c r="C78" s="405"/>
      <c r="D78" s="405"/>
      <c r="E78" s="406"/>
      <c r="F78" s="406"/>
      <c r="G78" s="406"/>
      <c r="H78" s="614"/>
    </row>
    <row r="79" spans="1:8" ht="13.5" thickBot="1" x14ac:dyDescent="0.25">
      <c r="A79" s="2023" t="s">
        <v>118</v>
      </c>
      <c r="B79" s="2024"/>
      <c r="C79" s="1265"/>
      <c r="D79" s="1433"/>
      <c r="E79" s="2025" t="s">
        <v>118</v>
      </c>
      <c r="F79" s="2025"/>
      <c r="G79" s="2026"/>
      <c r="H79" s="612"/>
    </row>
    <row r="80" spans="1:8" x14ac:dyDescent="0.2">
      <c r="A80" s="396"/>
      <c r="B80" s="397"/>
      <c r="C80" s="623"/>
      <c r="D80" s="397"/>
      <c r="E80" s="393" t="s">
        <v>10</v>
      </c>
      <c r="F80" s="10">
        <f>SUM('6. sz.melléklet'!C155)</f>
        <v>38491</v>
      </c>
      <c r="G80" s="10">
        <f>SUM('6. sz.melléklet'!C156)</f>
        <v>0</v>
      </c>
      <c r="H80" s="623">
        <f>SUM('6. sz.melléklet'!C157)</f>
        <v>0</v>
      </c>
    </row>
    <row r="81" spans="1:8" x14ac:dyDescent="0.2">
      <c r="A81" s="58" t="s">
        <v>192</v>
      </c>
      <c r="B81" s="73">
        <f>SUM('5.a.sz. melléklet'!D125)</f>
        <v>548194</v>
      </c>
      <c r="C81" s="611">
        <f>SUM('5.a.sz. melléklet'!D126)</f>
        <v>0</v>
      </c>
      <c r="D81" s="80">
        <f>SUM('5.a.sz. melléklet'!D127)</f>
        <v>0</v>
      </c>
      <c r="E81" s="387" t="s">
        <v>340</v>
      </c>
      <c r="F81" s="11">
        <f>SUM('6. sz.melléklet'!D155)</f>
        <v>12311</v>
      </c>
      <c r="G81" s="498">
        <f>SUM('6. sz.melléklet'!D156)</f>
        <v>0</v>
      </c>
      <c r="H81" s="611">
        <f>SUM('6. sz.melléklet'!D157)</f>
        <v>0</v>
      </c>
    </row>
    <row r="82" spans="1:8" x14ac:dyDescent="0.2">
      <c r="A82" s="58" t="s">
        <v>329</v>
      </c>
      <c r="B82" s="73">
        <f>SUM('5.a.sz. melléklet'!C125)</f>
        <v>60363</v>
      </c>
      <c r="C82" s="611">
        <f>SUM('5.a.sz. melléklet'!C126)</f>
        <v>0</v>
      </c>
      <c r="D82" s="80">
        <f>SUM('5.a.sz. melléklet'!C127)</f>
        <v>0</v>
      </c>
      <c r="E82" s="387" t="s">
        <v>21</v>
      </c>
      <c r="F82" s="11">
        <f>SUM('6. sz.melléklet'!E155)</f>
        <v>164011</v>
      </c>
      <c r="G82" s="498">
        <f>SUM('6. sz.melléklet'!E156)</f>
        <v>0</v>
      </c>
      <c r="H82" s="611">
        <f>SUM('6. sz.melléklet'!E157)</f>
        <v>0</v>
      </c>
    </row>
    <row r="83" spans="1:8" x14ac:dyDescent="0.2">
      <c r="A83" s="58" t="s">
        <v>332</v>
      </c>
      <c r="B83" s="73">
        <f>SUM('5.a.sz. melléklet'!F125+'5.a.sz. melléklet'!H11)</f>
        <v>19205</v>
      </c>
      <c r="C83" s="611">
        <f>SUM('5.a.sz. melléklet'!H12+'5.a.sz. melléklet'!F126)</f>
        <v>0</v>
      </c>
      <c r="D83" s="80">
        <f>SUM('5.a.sz. melléklet'!F127+'5.a.sz. melléklet'!H13)</f>
        <v>0</v>
      </c>
      <c r="E83" s="387" t="s">
        <v>241</v>
      </c>
      <c r="F83" s="11">
        <f>SUM('6. sz.melléklet'!F155)</f>
        <v>50501</v>
      </c>
      <c r="G83" s="498">
        <f>SUM('6. sz.melléklet'!F156)</f>
        <v>0</v>
      </c>
      <c r="H83" s="611">
        <f>SUM('6. sz.melléklet'!F157)</f>
        <v>0</v>
      </c>
    </row>
    <row r="84" spans="1:8" ht="13.5" thickBot="1" x14ac:dyDescent="0.25">
      <c r="A84" s="388" t="s">
        <v>357</v>
      </c>
      <c r="B84" s="389">
        <f>SUM('5.a.sz. melléklet'!E125)</f>
        <v>113279</v>
      </c>
      <c r="C84" s="625">
        <f>SUM('5.a.sz. melléklet'!E126)</f>
        <v>165</v>
      </c>
      <c r="D84" s="1419">
        <f>SUM('5.a.sz. melléklet'!E127)</f>
        <v>0</v>
      </c>
      <c r="E84" s="387" t="s">
        <v>358</v>
      </c>
      <c r="F84" s="11">
        <f>SUM('6. sz.melléklet'!I155)</f>
        <v>41708</v>
      </c>
      <c r="G84" s="498">
        <f>SUM('6. sz.melléklet'!I156)</f>
        <v>0</v>
      </c>
      <c r="H84" s="625">
        <f>SUM('6. sz.melléklet'!I157)</f>
        <v>0</v>
      </c>
    </row>
    <row r="85" spans="1:8" ht="13.5" thickBot="1" x14ac:dyDescent="0.25">
      <c r="A85" s="390" t="s">
        <v>205</v>
      </c>
      <c r="B85" s="398">
        <f>SUM(B81:B84)</f>
        <v>741041</v>
      </c>
      <c r="C85" s="405">
        <f>SUM(C81:C84)</f>
        <v>165</v>
      </c>
      <c r="D85" s="403">
        <f>SUM(D81:D84)</f>
        <v>0</v>
      </c>
      <c r="E85" s="401" t="s">
        <v>208</v>
      </c>
      <c r="F85" s="406">
        <f>SUM(F80:F84)</f>
        <v>307022</v>
      </c>
      <c r="G85" s="1438">
        <f>SUM(G80:G84)</f>
        <v>0</v>
      </c>
      <c r="H85" s="1447">
        <f>SUM(H80:H84)</f>
        <v>0</v>
      </c>
    </row>
    <row r="86" spans="1:8" x14ac:dyDescent="0.2">
      <c r="A86" s="62" t="s">
        <v>105</v>
      </c>
      <c r="B86" s="72">
        <f>SUM('5.a.sz. melléklet'!I125)</f>
        <v>30430</v>
      </c>
      <c r="C86" s="623">
        <f>SUM('5.a.sz. melléklet'!I126)</f>
        <v>0</v>
      </c>
      <c r="D86" s="397">
        <f>SUM('5.a.sz. melléklet'!I127)</f>
        <v>0</v>
      </c>
      <c r="E86" s="387" t="s">
        <v>209</v>
      </c>
      <c r="F86" s="11">
        <f>SUM('6.a.sz. melléklet'!D28)</f>
        <v>227360</v>
      </c>
      <c r="G86" s="498">
        <f>SUM('6.a.sz. melléklet'!E28)</f>
        <v>165045</v>
      </c>
      <c r="H86" s="623">
        <f>SUM('6. sz.melléklet'!G157)</f>
        <v>0</v>
      </c>
    </row>
    <row r="87" spans="1:8" x14ac:dyDescent="0.2">
      <c r="A87" s="58" t="s">
        <v>235</v>
      </c>
      <c r="B87" s="73">
        <f>SUM('5.a.sz. melléklet'!G125+'5.a.sz. melléklet'!H15)</f>
        <v>240017</v>
      </c>
      <c r="C87" s="611">
        <f>SUM('5.a.sz. melléklet'!H16+'5.a.sz. melléklet'!G126)</f>
        <v>0</v>
      </c>
      <c r="D87" s="80">
        <f>SUM('5.a.sz. melléklet'!G127+'5.a.sz. melléklet'!H45)</f>
        <v>0</v>
      </c>
      <c r="E87" s="392" t="s">
        <v>355</v>
      </c>
      <c r="F87" s="484">
        <f>SUM('6.a.sz. melléklet'!H28)</f>
        <v>284087</v>
      </c>
      <c r="G87" s="1439">
        <f>SUM('6.a.sz. melléklet'!I28)</f>
        <v>36526</v>
      </c>
      <c r="H87" s="611">
        <f>SUM('6. sz.melléklet'!H157)</f>
        <v>0</v>
      </c>
    </row>
    <row r="88" spans="1:8" ht="13.5" thickBot="1" x14ac:dyDescent="0.25">
      <c r="A88" s="480"/>
      <c r="B88" s="395"/>
      <c r="C88" s="625"/>
      <c r="D88" s="1419"/>
      <c r="E88" s="394" t="s">
        <v>335</v>
      </c>
      <c r="F88" s="4">
        <f>SUM('6. sz.melléklet'!J155)</f>
        <v>169055</v>
      </c>
      <c r="G88" s="485">
        <f>SUM('6. sz.melléklet'!J156)</f>
        <v>0</v>
      </c>
      <c r="H88" s="625">
        <f>SUM('6. sz.melléklet'!J157)</f>
        <v>0</v>
      </c>
    </row>
    <row r="89" spans="1:8" ht="13.5" thickBot="1" x14ac:dyDescent="0.25">
      <c r="A89" s="390" t="s">
        <v>14</v>
      </c>
      <c r="B89" s="398">
        <f>SUM(B86:B87)</f>
        <v>270447</v>
      </c>
      <c r="C89" s="405">
        <f>SUM(C86:C88)</f>
        <v>0</v>
      </c>
      <c r="D89" s="405">
        <f>SUM(D86:D88)</f>
        <v>0</v>
      </c>
      <c r="E89" s="401" t="s">
        <v>210</v>
      </c>
      <c r="F89" s="406">
        <f>SUM(F86:F88)</f>
        <v>680502</v>
      </c>
      <c r="G89" s="1438">
        <f>SUM(G86:G88)</f>
        <v>201571</v>
      </c>
      <c r="H89" s="1447">
        <f>SUM(H86:H88)</f>
        <v>0</v>
      </c>
    </row>
    <row r="90" spans="1:8" x14ac:dyDescent="0.2">
      <c r="A90" s="1068" t="s">
        <v>482</v>
      </c>
      <c r="B90" s="72">
        <f>SUM('5.a.sz. melléklet'!K15)</f>
        <v>100000</v>
      </c>
      <c r="C90" s="623">
        <f>SUM('5.a.sz. melléklet'!K84)</f>
        <v>0</v>
      </c>
      <c r="D90" s="423">
        <f>SUM('5.a.sz. melléklet'!K85)</f>
        <v>0</v>
      </c>
      <c r="E90" s="1425" t="s">
        <v>484</v>
      </c>
      <c r="F90" s="1058">
        <f>SUM('6. sz.melléklet'!M148)</f>
        <v>0</v>
      </c>
      <c r="G90" s="1443">
        <f>SUM('6. sz.melléklet'!M149)</f>
        <v>0</v>
      </c>
      <c r="H90" s="623">
        <f>SUM('6. sz.melléklet'!M150)</f>
        <v>0</v>
      </c>
    </row>
    <row r="91" spans="1:8" x14ac:dyDescent="0.2">
      <c r="A91" s="1069" t="s">
        <v>211</v>
      </c>
      <c r="B91" s="73">
        <f>SUM('5.a.sz. melléklet'!K11)</f>
        <v>0</v>
      </c>
      <c r="C91" s="611">
        <f>SUM('5.a.sz. melléklet'!K12)</f>
        <v>0</v>
      </c>
      <c r="D91" s="80">
        <f>SUM('5.a.sz. melléklet'!K13)</f>
        <v>0</v>
      </c>
      <c r="E91" s="1426" t="s">
        <v>359</v>
      </c>
      <c r="F91" s="1071">
        <f>SUM('1.sz. melléklet'!E12+'1.sz. melléklet'!H12+'1.sz. melléklet'!K12+'1.sz. melléklet'!N12)</f>
        <v>385689</v>
      </c>
      <c r="G91" s="497">
        <f>SUM('1.sz. melléklet'!F12+'1.sz. melléklet'!I12+'1.sz. melléklet'!L12+'1.sz. melléklet'!O12-1)</f>
        <v>400668</v>
      </c>
      <c r="H91" s="1061">
        <f>SUM('6. sz.melléklet'!M24)</f>
        <v>0</v>
      </c>
    </row>
    <row r="92" spans="1:8" x14ac:dyDescent="0.2">
      <c r="A92" s="1070"/>
      <c r="B92" s="389"/>
      <c r="C92" s="612"/>
      <c r="D92" s="610"/>
      <c r="E92" s="1427" t="s">
        <v>485</v>
      </c>
      <c r="F92" s="1072">
        <f>SUM('6. sz.melléklet'!M18)</f>
        <v>3424</v>
      </c>
      <c r="G92" s="1444">
        <f>SUM('6. sz.melléklet'!M19)</f>
        <v>0</v>
      </c>
      <c r="H92" s="1061">
        <f>SUM('6. sz.melléklet'!M20)</f>
        <v>0</v>
      </c>
    </row>
    <row r="93" spans="1:8" ht="13.5" thickBot="1" x14ac:dyDescent="0.25">
      <c r="A93" s="399" t="s">
        <v>333</v>
      </c>
      <c r="B93" s="400">
        <f>SUM(B90:B91)</f>
        <v>100000</v>
      </c>
      <c r="C93" s="1056">
        <f>SUM(C90:C92)</f>
        <v>0</v>
      </c>
      <c r="D93" s="1434">
        <f>SUM(D90:D92)</f>
        <v>0</v>
      </c>
      <c r="E93" s="1428" t="s">
        <v>476</v>
      </c>
      <c r="F93" s="1073">
        <f>SUM('6. sz.melléklet'!M6)</f>
        <v>0</v>
      </c>
      <c r="G93" s="1445">
        <f>SUM('6. sz.melléklet'!M7)</f>
        <v>0</v>
      </c>
      <c r="H93" s="1050">
        <f>SUM('6. sz.melléklet'!M8)</f>
        <v>0</v>
      </c>
    </row>
    <row r="94" spans="1:8" ht="13.5" thickBot="1" x14ac:dyDescent="0.25">
      <c r="A94" s="390" t="s">
        <v>207</v>
      </c>
      <c r="B94" s="398">
        <f>B85+B89+B93</f>
        <v>1111488</v>
      </c>
      <c r="C94" s="405">
        <f>SUM(C93+C89+C85)</f>
        <v>165</v>
      </c>
      <c r="D94" s="405">
        <f>SUM(D93,D89,D85)</f>
        <v>0</v>
      </c>
      <c r="E94" s="401" t="s">
        <v>130</v>
      </c>
      <c r="F94" s="406">
        <f>SUM(F90:F93)</f>
        <v>389113</v>
      </c>
      <c r="G94" s="1438">
        <f>SUM(G90:G93)</f>
        <v>400668</v>
      </c>
      <c r="H94" s="1447">
        <f>SUM(H90:H93)</f>
        <v>0</v>
      </c>
    </row>
    <row r="95" spans="1:8" ht="25.5" customHeight="1" thickBot="1" x14ac:dyDescent="0.25">
      <c r="A95" s="63" t="s">
        <v>483</v>
      </c>
      <c r="B95" s="72">
        <f>SUM('5.a.sz. melléklet'!J23)</f>
        <v>350000</v>
      </c>
      <c r="C95" s="623">
        <f>SUM('5.a.sz. melléklet'!J84)</f>
        <v>0</v>
      </c>
      <c r="D95" s="1421">
        <f>SUM('5.a.sz. melléklet'!J85)</f>
        <v>0</v>
      </c>
      <c r="E95" s="402" t="s">
        <v>45</v>
      </c>
      <c r="F95" s="949">
        <f>SUM('6. sz.melléklet'!K152+'6. sz.melléklet'!L152)</f>
        <v>84851</v>
      </c>
      <c r="G95" s="488">
        <f>SUM('6. sz.melléklet'!K153+'6. sz.melléklet'!L153)</f>
        <v>7708</v>
      </c>
      <c r="H95" s="1417">
        <f>SUM('6. sz.melléklet'!K157+'6. sz.melléklet'!L157)</f>
        <v>0</v>
      </c>
    </row>
    <row r="96" spans="1:8" ht="13.5" thickBot="1" x14ac:dyDescent="0.25">
      <c r="A96" s="390" t="s">
        <v>212</v>
      </c>
      <c r="B96" s="398">
        <f>SUM(B95+B93+B89+B85)</f>
        <v>1461488</v>
      </c>
      <c r="C96" s="405">
        <f>SUM(C95+C93+C89+C85)</f>
        <v>165</v>
      </c>
      <c r="D96" s="405">
        <f>SUM(D95+D94)</f>
        <v>0</v>
      </c>
      <c r="E96" s="401" t="s">
        <v>213</v>
      </c>
      <c r="F96" s="406">
        <f>SUM(F95+F94+F89+F85)</f>
        <v>1461488</v>
      </c>
      <c r="G96" s="1438">
        <f>SUM(G95+G94+G89+G85)</f>
        <v>609947</v>
      </c>
      <c r="H96" s="1447">
        <f>SUM(H85+H89+H94+H95)</f>
        <v>0</v>
      </c>
    </row>
  </sheetData>
  <mergeCells count="13">
    <mergeCell ref="A60:B60"/>
    <mergeCell ref="E60:G60"/>
    <mergeCell ref="A79:B79"/>
    <mergeCell ref="E79:G79"/>
    <mergeCell ref="A1:G1"/>
    <mergeCell ref="A22:B22"/>
    <mergeCell ref="E22:G22"/>
    <mergeCell ref="A41:B41"/>
    <mergeCell ref="E41:G41"/>
    <mergeCell ref="A3:B3"/>
    <mergeCell ref="E3:G3"/>
    <mergeCell ref="A4:B4"/>
    <mergeCell ref="E4:G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D7" sqref="D7"/>
    </sheetView>
  </sheetViews>
  <sheetFormatPr defaultRowHeight="12.75" x14ac:dyDescent="0.2"/>
  <cols>
    <col min="1" max="1" width="13.7109375" customWidth="1"/>
    <col min="2" max="2" width="11" customWidth="1"/>
    <col min="3" max="3" width="8.5703125" customWidth="1"/>
    <col min="5" max="5" width="8.5703125" customWidth="1"/>
    <col min="6" max="6" width="8.4257812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5703125" customWidth="1"/>
    <col min="12" max="12" width="7.140625" customWidth="1"/>
    <col min="13" max="13" width="7.28515625" customWidth="1"/>
    <col min="14" max="14" width="8.140625" customWidth="1"/>
    <col min="15" max="15" width="7.5703125" customWidth="1"/>
    <col min="16" max="16" width="7.42578125" customWidth="1"/>
  </cols>
  <sheetData>
    <row r="1" spans="1:16" x14ac:dyDescent="0.2">
      <c r="A1" s="2032" t="s">
        <v>545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  <c r="N1" s="2032"/>
      <c r="O1" s="2032"/>
      <c r="P1" s="1415"/>
    </row>
    <row r="2" spans="1:16" ht="13.5" thickBot="1" x14ac:dyDescent="0.25">
      <c r="A2" s="1415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</row>
    <row r="3" spans="1:16" ht="26.25" customHeight="1" thickBot="1" x14ac:dyDescent="0.25">
      <c r="A3" s="1841" t="s">
        <v>122</v>
      </c>
      <c r="B3" s="2033" t="s">
        <v>123</v>
      </c>
      <c r="C3" s="2034"/>
      <c r="D3" s="2035"/>
      <c r="E3" s="2033" t="s">
        <v>31</v>
      </c>
      <c r="F3" s="2034"/>
      <c r="G3" s="2035"/>
      <c r="H3" s="2033" t="s">
        <v>57</v>
      </c>
      <c r="I3" s="2034"/>
      <c r="J3" s="2035"/>
      <c r="K3" s="2036" t="s">
        <v>549</v>
      </c>
      <c r="L3" s="2037"/>
      <c r="M3" s="2038"/>
      <c r="N3" s="2033" t="s">
        <v>124</v>
      </c>
      <c r="O3" s="2034"/>
      <c r="P3" s="2035"/>
    </row>
    <row r="4" spans="1:16" ht="13.5" thickBot="1" x14ac:dyDescent="0.25">
      <c r="A4" s="1842"/>
      <c r="B4" s="1811" t="s">
        <v>550</v>
      </c>
      <c r="C4" s="1812" t="s">
        <v>551</v>
      </c>
      <c r="D4" s="1813" t="s">
        <v>552</v>
      </c>
      <c r="E4" s="1811" t="s">
        <v>550</v>
      </c>
      <c r="F4" s="1812" t="s">
        <v>551</v>
      </c>
      <c r="G4" s="1813" t="s">
        <v>552</v>
      </c>
      <c r="H4" s="1811" t="s">
        <v>550</v>
      </c>
      <c r="I4" s="1812" t="s">
        <v>551</v>
      </c>
      <c r="J4" s="1813" t="s">
        <v>552</v>
      </c>
      <c r="K4" s="1811" t="s">
        <v>550</v>
      </c>
      <c r="L4" s="1812" t="s">
        <v>551</v>
      </c>
      <c r="M4" s="1813" t="s">
        <v>552</v>
      </c>
      <c r="N4" s="1811" t="s">
        <v>550</v>
      </c>
      <c r="O4" s="1812" t="s">
        <v>551</v>
      </c>
      <c r="P4" s="1813" t="s">
        <v>552</v>
      </c>
    </row>
    <row r="5" spans="1:16" ht="25.5" x14ac:dyDescent="0.2">
      <c r="A5" s="1854" t="s">
        <v>192</v>
      </c>
      <c r="B5" s="1843">
        <f>SUM('1.sz. melléklet'!B5*0.9)</f>
        <v>493374.60000000003</v>
      </c>
      <c r="C5" s="1844">
        <v>493000</v>
      </c>
      <c r="D5" s="1845">
        <f>SUM(C5)</f>
        <v>493000</v>
      </c>
      <c r="E5" s="1843">
        <f>SUM('1.sz. melléklet'!E5*0.9)</f>
        <v>90</v>
      </c>
      <c r="F5" s="1846">
        <v>85</v>
      </c>
      <c r="G5" s="1847">
        <v>85</v>
      </c>
      <c r="H5" s="1843"/>
      <c r="I5" s="1844"/>
      <c r="J5" s="1845"/>
      <c r="K5" s="1843"/>
      <c r="L5" s="1844"/>
      <c r="M5" s="1845"/>
      <c r="N5" s="1843"/>
      <c r="O5" s="1844"/>
      <c r="P5" s="1845"/>
    </row>
    <row r="6" spans="1:16" ht="25.5" x14ac:dyDescent="0.2">
      <c r="A6" s="1854" t="s">
        <v>329</v>
      </c>
      <c r="B6" s="1848">
        <f>SUM('1.sz. melléklet'!B6*0.9)</f>
        <v>54326.700000000004</v>
      </c>
      <c r="C6" s="1849">
        <v>43039</v>
      </c>
      <c r="D6" s="1850">
        <v>43039</v>
      </c>
      <c r="E6" s="1851">
        <v>13098</v>
      </c>
      <c r="F6" s="1849">
        <v>13000</v>
      </c>
      <c r="G6" s="1850">
        <v>13000</v>
      </c>
      <c r="H6" s="1851">
        <f>SUM('1.sz. melléklet'!H6*0.9)</f>
        <v>12950.1</v>
      </c>
      <c r="I6" s="1852">
        <v>12000</v>
      </c>
      <c r="J6" s="1853">
        <v>12000</v>
      </c>
      <c r="K6" s="1851">
        <f>SUM('1.sz. melléklet'!K6*0.9)</f>
        <v>6034.5</v>
      </c>
      <c r="L6" s="1852">
        <v>6000</v>
      </c>
      <c r="M6" s="1853">
        <v>6000</v>
      </c>
      <c r="N6" s="1851">
        <f>SUM('1.sz. melléklet'!N6*0.9)</f>
        <v>270</v>
      </c>
      <c r="O6" s="1852">
        <v>250</v>
      </c>
      <c r="P6" s="1853">
        <v>250</v>
      </c>
    </row>
    <row r="7" spans="1:16" ht="38.25" x14ac:dyDescent="0.2">
      <c r="A7" s="1854" t="s">
        <v>546</v>
      </c>
      <c r="B7" s="1848">
        <v>119204</v>
      </c>
      <c r="C7" s="1849">
        <v>119000</v>
      </c>
      <c r="D7" s="1850">
        <v>119000</v>
      </c>
      <c r="E7" s="1851"/>
      <c r="F7" s="1849"/>
      <c r="G7" s="1850"/>
      <c r="H7" s="1851"/>
      <c r="I7" s="1852"/>
      <c r="J7" s="1853"/>
      <c r="K7" s="1851"/>
      <c r="L7" s="1852"/>
      <c r="M7" s="1853"/>
      <c r="N7" s="1851"/>
      <c r="O7" s="1852"/>
      <c r="P7" s="1853"/>
    </row>
    <row r="8" spans="1:16" ht="38.25" x14ac:dyDescent="0.2">
      <c r="A8" s="1854" t="s">
        <v>547</v>
      </c>
      <c r="B8" s="1131"/>
      <c r="C8" s="1849"/>
      <c r="D8" s="1850"/>
      <c r="E8" s="1851"/>
      <c r="F8" s="1849"/>
      <c r="G8" s="1850"/>
      <c r="H8" s="1851"/>
      <c r="I8" s="1852"/>
      <c r="J8" s="1853"/>
      <c r="K8" s="1851"/>
      <c r="L8" s="1852"/>
      <c r="M8" s="1853"/>
      <c r="N8" s="1851"/>
      <c r="O8" s="1852"/>
      <c r="P8" s="1853"/>
    </row>
    <row r="9" spans="1:16" ht="25.5" x14ac:dyDescent="0.2">
      <c r="A9" s="1854" t="s">
        <v>105</v>
      </c>
      <c r="B9" s="1131">
        <v>30000</v>
      </c>
      <c r="C9" s="1849">
        <v>10000</v>
      </c>
      <c r="D9" s="1850">
        <v>10000</v>
      </c>
      <c r="E9" s="1851"/>
      <c r="F9" s="1849"/>
      <c r="G9" s="1850"/>
      <c r="H9" s="1851"/>
      <c r="I9" s="1852"/>
      <c r="J9" s="1853"/>
      <c r="K9" s="1851"/>
      <c r="L9" s="1852"/>
      <c r="M9" s="1853"/>
      <c r="N9" s="1851"/>
      <c r="O9" s="1852"/>
      <c r="P9" s="1853"/>
    </row>
    <row r="10" spans="1:16" ht="28.5" customHeight="1" x14ac:dyDescent="0.2">
      <c r="A10" s="1854" t="s">
        <v>332</v>
      </c>
      <c r="B10" s="1131"/>
      <c r="C10" s="1849"/>
      <c r="D10" s="1850"/>
      <c r="E10" s="1851"/>
      <c r="F10" s="1849"/>
      <c r="G10" s="1850"/>
      <c r="H10" s="1851"/>
      <c r="I10" s="1852"/>
      <c r="J10" s="1853"/>
      <c r="K10" s="1851"/>
      <c r="L10" s="1852"/>
      <c r="M10" s="1853"/>
      <c r="N10" s="1851"/>
      <c r="O10" s="1852"/>
      <c r="P10" s="1853"/>
    </row>
    <row r="11" spans="1:16" ht="38.25" x14ac:dyDescent="0.2">
      <c r="A11" s="1854" t="s">
        <v>235</v>
      </c>
      <c r="B11" s="1131"/>
      <c r="C11" s="1849"/>
      <c r="D11" s="1850"/>
      <c r="E11" s="1851"/>
      <c r="F11" s="1849"/>
      <c r="G11" s="1850"/>
      <c r="H11" s="1851"/>
      <c r="I11" s="1852"/>
      <c r="J11" s="1853"/>
      <c r="K11" s="1851"/>
      <c r="L11" s="1852"/>
      <c r="M11" s="1853"/>
      <c r="N11" s="1851"/>
      <c r="O11" s="1852"/>
      <c r="P11" s="1853"/>
    </row>
    <row r="12" spans="1:16" ht="26.25" thickBot="1" x14ac:dyDescent="0.25">
      <c r="A12" s="1867" t="s">
        <v>333</v>
      </c>
      <c r="B12" s="1855">
        <v>303400</v>
      </c>
      <c r="C12" s="1856">
        <v>215800</v>
      </c>
      <c r="D12" s="1857">
        <v>215800</v>
      </c>
      <c r="E12" s="1858">
        <v>115396</v>
      </c>
      <c r="F12" s="1856">
        <v>114245</v>
      </c>
      <c r="G12" s="1857">
        <v>114245</v>
      </c>
      <c r="H12" s="1858">
        <v>128231</v>
      </c>
      <c r="I12" s="1859">
        <v>109790</v>
      </c>
      <c r="J12" s="1860">
        <v>109790</v>
      </c>
      <c r="K12" s="1858">
        <v>42234</v>
      </c>
      <c r="L12" s="1859">
        <v>41818</v>
      </c>
      <c r="M12" s="1860">
        <v>41818</v>
      </c>
      <c r="N12" s="1858">
        <v>88634</v>
      </c>
      <c r="O12" s="1859">
        <v>87434</v>
      </c>
      <c r="P12" s="1860">
        <v>87434</v>
      </c>
    </row>
    <row r="13" spans="1:16" ht="26.25" thickBot="1" x14ac:dyDescent="0.25">
      <c r="A13" s="1868" t="s">
        <v>145</v>
      </c>
      <c r="B13" s="1806">
        <f t="shared" ref="B13:P13" si="0">SUM(B5:B12)</f>
        <v>1000305.3</v>
      </c>
      <c r="C13" s="1807">
        <f t="shared" si="0"/>
        <v>880839</v>
      </c>
      <c r="D13" s="1807">
        <f t="shared" si="0"/>
        <v>880839</v>
      </c>
      <c r="E13" s="1806">
        <f t="shared" si="0"/>
        <v>128584</v>
      </c>
      <c r="F13" s="1812">
        <f t="shared" si="0"/>
        <v>127330</v>
      </c>
      <c r="G13" s="1812">
        <f t="shared" si="0"/>
        <v>127330</v>
      </c>
      <c r="H13" s="1756">
        <f t="shared" si="0"/>
        <v>141181.1</v>
      </c>
      <c r="I13" s="1812">
        <f t="shared" si="0"/>
        <v>121790</v>
      </c>
      <c r="J13" s="1812">
        <f t="shared" si="0"/>
        <v>121790</v>
      </c>
      <c r="K13" s="1806">
        <f t="shared" si="0"/>
        <v>48268.5</v>
      </c>
      <c r="L13" s="1812">
        <f t="shared" si="0"/>
        <v>47818</v>
      </c>
      <c r="M13" s="1812">
        <f t="shared" si="0"/>
        <v>47818</v>
      </c>
      <c r="N13" s="1806">
        <f t="shared" si="0"/>
        <v>88904</v>
      </c>
      <c r="O13" s="1812">
        <f t="shared" si="0"/>
        <v>87684</v>
      </c>
      <c r="P13" s="1812">
        <f t="shared" si="0"/>
        <v>87684</v>
      </c>
    </row>
    <row r="14" spans="1:16" ht="13.5" thickBot="1" x14ac:dyDescent="0.25">
      <c r="A14" s="1861"/>
      <c r="B14" s="1861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</row>
    <row r="15" spans="1:16" ht="26.25" customHeight="1" thickBot="1" x14ac:dyDescent="0.25">
      <c r="A15" s="1841" t="s">
        <v>127</v>
      </c>
      <c r="B15" s="2033" t="s">
        <v>123</v>
      </c>
      <c r="C15" s="2034"/>
      <c r="D15" s="2035"/>
      <c r="E15" s="2033" t="s">
        <v>31</v>
      </c>
      <c r="F15" s="2034"/>
      <c r="G15" s="2035"/>
      <c r="H15" s="2033" t="s">
        <v>57</v>
      </c>
      <c r="I15" s="2034"/>
      <c r="J15" s="2035"/>
      <c r="K15" s="2036" t="s">
        <v>549</v>
      </c>
      <c r="L15" s="2037"/>
      <c r="M15" s="2038"/>
      <c r="N15" s="2033" t="s">
        <v>124</v>
      </c>
      <c r="O15" s="2034"/>
      <c r="P15" s="2035"/>
    </row>
    <row r="16" spans="1:16" ht="13.5" thickBot="1" x14ac:dyDescent="0.25">
      <c r="A16" s="1862"/>
      <c r="B16" s="1811" t="s">
        <v>550</v>
      </c>
      <c r="C16" s="1812" t="s">
        <v>551</v>
      </c>
      <c r="D16" s="1813" t="s">
        <v>552</v>
      </c>
      <c r="E16" s="1811" t="s">
        <v>550</v>
      </c>
      <c r="F16" s="1812" t="s">
        <v>551</v>
      </c>
      <c r="G16" s="1813" t="s">
        <v>552</v>
      </c>
      <c r="H16" s="1811" t="s">
        <v>550</v>
      </c>
      <c r="I16" s="1812" t="s">
        <v>551</v>
      </c>
      <c r="J16" s="1813" t="s">
        <v>552</v>
      </c>
      <c r="K16" s="1811" t="s">
        <v>550</v>
      </c>
      <c r="L16" s="1812" t="s">
        <v>551</v>
      </c>
      <c r="M16" s="1813" t="s">
        <v>552</v>
      </c>
      <c r="N16" s="1811" t="s">
        <v>550</v>
      </c>
      <c r="O16" s="1812" t="s">
        <v>551</v>
      </c>
      <c r="P16" s="1813" t="s">
        <v>552</v>
      </c>
    </row>
    <row r="17" spans="1:16" ht="25.5" x14ac:dyDescent="0.2">
      <c r="A17" s="1854" t="s">
        <v>10</v>
      </c>
      <c r="B17" s="1863">
        <v>48491</v>
      </c>
      <c r="C17" s="1864">
        <v>48491</v>
      </c>
      <c r="D17" s="1865">
        <v>48491</v>
      </c>
      <c r="E17" s="1863">
        <f>SUM('1.sz. melléklet'!E18)</f>
        <v>74262</v>
      </c>
      <c r="F17" s="1846">
        <v>74262</v>
      </c>
      <c r="G17" s="1847">
        <v>74262</v>
      </c>
      <c r="H17" s="1863">
        <f>SUM('1.sz. melléklet'!H18)</f>
        <v>80828</v>
      </c>
      <c r="I17" s="1846">
        <v>80568</v>
      </c>
      <c r="J17" s="1847">
        <v>80568</v>
      </c>
      <c r="K17" s="1863">
        <f>SUM('1.sz. melléklet'!K18)</f>
        <v>18883</v>
      </c>
      <c r="L17" s="1846">
        <v>18883</v>
      </c>
      <c r="M17" s="1847">
        <v>18883</v>
      </c>
      <c r="N17" s="1863">
        <f>SUM('1.sz. melléklet'!N18)</f>
        <v>38494</v>
      </c>
      <c r="O17" s="1846">
        <v>38494</v>
      </c>
      <c r="P17" s="1847">
        <v>38494</v>
      </c>
    </row>
    <row r="18" spans="1:16" ht="38.25" x14ac:dyDescent="0.2">
      <c r="A18" s="1854" t="s">
        <v>548</v>
      </c>
      <c r="B18" s="1848">
        <v>16879</v>
      </c>
      <c r="C18" s="1849">
        <v>16879</v>
      </c>
      <c r="D18" s="1850">
        <v>16879</v>
      </c>
      <c r="E18" s="1848">
        <f>SUM('1.sz. melléklet'!E19)</f>
        <v>21568</v>
      </c>
      <c r="F18" s="1849">
        <v>21568</v>
      </c>
      <c r="G18" s="1850">
        <v>21568</v>
      </c>
      <c r="H18" s="1848">
        <f>SUM('1.sz. melléklet'!H19)</f>
        <v>22972</v>
      </c>
      <c r="I18" s="1849">
        <v>4722</v>
      </c>
      <c r="J18" s="1850">
        <v>4722</v>
      </c>
      <c r="K18" s="1848">
        <f>SUM('1.sz. melléklet'!K19)</f>
        <v>5735</v>
      </c>
      <c r="L18" s="1849">
        <v>5735</v>
      </c>
      <c r="M18" s="1850">
        <v>5735</v>
      </c>
      <c r="N18" s="1848">
        <f>SUM('1.sz. melléklet'!N19)</f>
        <v>10990</v>
      </c>
      <c r="O18" s="1849">
        <v>10990</v>
      </c>
      <c r="P18" s="1850">
        <v>10990</v>
      </c>
    </row>
    <row r="19" spans="1:16" ht="25.5" x14ac:dyDescent="0.2">
      <c r="A19" s="1854" t="s">
        <v>21</v>
      </c>
      <c r="B19" s="1848">
        <f>SUM('1.sz. melléklet'!B20*0.9)</f>
        <v>147609.9</v>
      </c>
      <c r="C19" s="1849">
        <v>130000</v>
      </c>
      <c r="D19" s="1850">
        <v>130000</v>
      </c>
      <c r="E19" s="1848">
        <f>SUM('1.sz. melléklet'!E20*0.9)</f>
        <v>30863.7</v>
      </c>
      <c r="F19" s="1849">
        <v>30000</v>
      </c>
      <c r="G19" s="1850">
        <v>30000</v>
      </c>
      <c r="H19" s="1848">
        <f>SUM('1.sz. melléklet'!H20*0.9)</f>
        <v>35511.300000000003</v>
      </c>
      <c r="I19" s="1849">
        <v>35000</v>
      </c>
      <c r="J19" s="1850">
        <v>35000</v>
      </c>
      <c r="K19" s="1848">
        <f>SUM('1.sz. melléklet'!K20*0.9)</f>
        <v>19116</v>
      </c>
      <c r="L19" s="1849">
        <v>19000</v>
      </c>
      <c r="M19" s="1850">
        <v>19000</v>
      </c>
      <c r="N19" s="1848">
        <f>SUM('1.sz. melléklet'!N20*0.9)</f>
        <v>35876.700000000004</v>
      </c>
      <c r="O19" s="1849">
        <v>35000</v>
      </c>
      <c r="P19" s="1850">
        <v>35000</v>
      </c>
    </row>
    <row r="20" spans="1:16" ht="38.25" x14ac:dyDescent="0.2">
      <c r="A20" s="1854" t="s">
        <v>241</v>
      </c>
      <c r="B20" s="1848">
        <f>SUM('1.sz. melléklet'!B21*0.9)</f>
        <v>45450.9</v>
      </c>
      <c r="C20" s="1849">
        <v>45400</v>
      </c>
      <c r="D20" s="1850">
        <v>45400</v>
      </c>
      <c r="E20" s="1848"/>
      <c r="F20" s="1849"/>
      <c r="G20" s="1850"/>
      <c r="H20" s="1848"/>
      <c r="I20" s="1849"/>
      <c r="J20" s="1850"/>
      <c r="K20" s="1848"/>
      <c r="L20" s="1849"/>
      <c r="M20" s="1850"/>
      <c r="N20" s="1848"/>
      <c r="O20" s="1849"/>
      <c r="P20" s="1850"/>
    </row>
    <row r="21" spans="1:16" ht="51" x14ac:dyDescent="0.2">
      <c r="A21" s="1854" t="s">
        <v>614</v>
      </c>
      <c r="B21" s="1848">
        <f>SUM('1.sz. melléklet'!B22*0.9)</f>
        <v>37537.200000000004</v>
      </c>
      <c r="C21" s="1849">
        <v>36000</v>
      </c>
      <c r="D21" s="1850">
        <v>36000</v>
      </c>
      <c r="E21" s="1848"/>
      <c r="F21" s="1849"/>
      <c r="G21" s="1850"/>
      <c r="H21" s="1848"/>
      <c r="I21" s="1849"/>
      <c r="J21" s="1850"/>
      <c r="K21" s="1848"/>
      <c r="L21" s="1849"/>
      <c r="M21" s="1850"/>
      <c r="N21" s="1848"/>
      <c r="O21" s="1849"/>
      <c r="P21" s="1850"/>
    </row>
    <row r="22" spans="1:16" x14ac:dyDescent="0.2">
      <c r="A22" s="1854" t="s">
        <v>128</v>
      </c>
      <c r="B22" s="1848">
        <f>SUM('1.sz. melléklet'!B23-240000)</f>
        <v>44087</v>
      </c>
      <c r="C22" s="1849">
        <v>43000</v>
      </c>
      <c r="D22" s="1850">
        <v>43000</v>
      </c>
      <c r="E22" s="1848">
        <f>SUM('1.sz. melléklet'!E23*0.9)</f>
        <v>1890</v>
      </c>
      <c r="F22" s="1849">
        <v>1500</v>
      </c>
      <c r="G22" s="1850">
        <v>1500</v>
      </c>
      <c r="H22" s="1848">
        <f>SUM('1.sz. melléklet'!H23*0.9)</f>
        <v>1869.3</v>
      </c>
      <c r="I22" s="1849">
        <v>1500</v>
      </c>
      <c r="J22" s="1850">
        <v>1500</v>
      </c>
      <c r="K22" s="1848">
        <v>4535</v>
      </c>
      <c r="L22" s="1849">
        <v>4200</v>
      </c>
      <c r="M22" s="1850">
        <v>4200</v>
      </c>
      <c r="N22" s="1848">
        <f>SUM('1.sz. melléklet'!N23*0.9)</f>
        <v>3543.3</v>
      </c>
      <c r="O22" s="1849">
        <v>3200</v>
      </c>
      <c r="P22" s="1850">
        <v>3200</v>
      </c>
    </row>
    <row r="23" spans="1:16" x14ac:dyDescent="0.2">
      <c r="A23" s="1854" t="s">
        <v>129</v>
      </c>
      <c r="B23" s="1848">
        <v>200000</v>
      </c>
      <c r="C23" s="1849">
        <v>110000</v>
      </c>
      <c r="D23" s="1850">
        <v>110000</v>
      </c>
      <c r="E23" s="1848"/>
      <c r="F23" s="1849"/>
      <c r="G23" s="1850"/>
      <c r="H23" s="1848"/>
      <c r="I23" s="1849"/>
      <c r="J23" s="1850"/>
      <c r="K23" s="1848"/>
      <c r="L23" s="1849"/>
      <c r="M23" s="1850"/>
      <c r="N23" s="1848"/>
      <c r="O23" s="1849"/>
      <c r="P23" s="1850"/>
    </row>
    <row r="24" spans="1:16" ht="63.75" x14ac:dyDescent="0.2">
      <c r="A24" s="1854" t="s">
        <v>615</v>
      </c>
      <c r="B24" s="1131"/>
      <c r="C24" s="1849"/>
      <c r="D24" s="1850"/>
      <c r="E24" s="1848"/>
      <c r="F24" s="1849"/>
      <c r="G24" s="1850"/>
      <c r="H24" s="1848"/>
      <c r="I24" s="1849"/>
      <c r="J24" s="1850"/>
      <c r="K24" s="1848"/>
      <c r="L24" s="1849"/>
      <c r="M24" s="1850"/>
      <c r="N24" s="1848"/>
      <c r="O24" s="1849"/>
      <c r="P24" s="1850"/>
    </row>
    <row r="25" spans="1:16" ht="25.5" x14ac:dyDescent="0.2">
      <c r="A25" s="1854" t="s">
        <v>130</v>
      </c>
      <c r="B25" s="1848">
        <f>SUM(E12+H12+K12+N12)</f>
        <v>374495</v>
      </c>
      <c r="C25" s="1852">
        <f>SUM(F12+I12+L12+O12)</f>
        <v>353287</v>
      </c>
      <c r="D25" s="1853">
        <f>SUM(G12+J12+M12+P12)</f>
        <v>353287</v>
      </c>
      <c r="E25" s="1848"/>
      <c r="F25" s="1849"/>
      <c r="G25" s="1850"/>
      <c r="H25" s="1848"/>
      <c r="I25" s="1849"/>
      <c r="J25" s="1850"/>
      <c r="K25" s="1848"/>
      <c r="L25" s="1849"/>
      <c r="M25" s="1850"/>
      <c r="N25" s="1848"/>
      <c r="O25" s="1849"/>
      <c r="P25" s="1850"/>
    </row>
    <row r="26" spans="1:16" ht="25.5" x14ac:dyDescent="0.2">
      <c r="A26" s="1854" t="s">
        <v>131</v>
      </c>
      <c r="B26" s="1131">
        <v>65755</v>
      </c>
      <c r="C26" s="1849">
        <v>77782</v>
      </c>
      <c r="D26" s="1850">
        <v>77782</v>
      </c>
      <c r="E26" s="1848"/>
      <c r="F26" s="1849"/>
      <c r="G26" s="1850"/>
      <c r="H26" s="1848"/>
      <c r="I26" s="1849"/>
      <c r="J26" s="1850"/>
      <c r="K26" s="1848"/>
      <c r="L26" s="1849"/>
      <c r="M26" s="1850"/>
      <c r="N26" s="1848"/>
      <c r="O26" s="1849"/>
      <c r="P26" s="1850"/>
    </row>
    <row r="27" spans="1:16" ht="13.5" thickBot="1" x14ac:dyDescent="0.25">
      <c r="A27" s="1867" t="s">
        <v>132</v>
      </c>
      <c r="B27" s="1855">
        <v>20000</v>
      </c>
      <c r="C27" s="1856">
        <v>20000</v>
      </c>
      <c r="D27" s="1857">
        <v>20000</v>
      </c>
      <c r="E27" s="1866"/>
      <c r="F27" s="1856"/>
      <c r="G27" s="1857"/>
      <c r="H27" s="1866"/>
      <c r="I27" s="1856"/>
      <c r="J27" s="1857"/>
      <c r="K27" s="1866"/>
      <c r="L27" s="1856"/>
      <c r="M27" s="1857"/>
      <c r="N27" s="1866"/>
      <c r="O27" s="1856"/>
      <c r="P27" s="1857"/>
    </row>
    <row r="28" spans="1:16" ht="26.25" thickBot="1" x14ac:dyDescent="0.25">
      <c r="A28" s="1868" t="s">
        <v>146</v>
      </c>
      <c r="B28" s="1808">
        <f>SUM(B17:B27)</f>
        <v>1000305</v>
      </c>
      <c r="C28" s="1808">
        <f t="shared" ref="C28:D28" si="1">SUM(C17:C27)</f>
        <v>880839</v>
      </c>
      <c r="D28" s="1808">
        <f t="shared" si="1"/>
        <v>880839</v>
      </c>
      <c r="E28" s="1808">
        <f t="shared" ref="E28:P28" si="2">SUM(E17:E27)</f>
        <v>128583.7</v>
      </c>
      <c r="F28" s="1812">
        <f t="shared" si="2"/>
        <v>127330</v>
      </c>
      <c r="G28" s="1812">
        <f t="shared" si="2"/>
        <v>127330</v>
      </c>
      <c r="H28" s="1808">
        <f t="shared" si="2"/>
        <v>141180.59999999998</v>
      </c>
      <c r="I28" s="1812">
        <f t="shared" si="2"/>
        <v>121790</v>
      </c>
      <c r="J28" s="1812">
        <f t="shared" si="2"/>
        <v>121790</v>
      </c>
      <c r="K28" s="1808">
        <f t="shared" si="2"/>
        <v>48269</v>
      </c>
      <c r="L28" s="1812">
        <f t="shared" si="2"/>
        <v>47818</v>
      </c>
      <c r="M28" s="1812">
        <f t="shared" si="2"/>
        <v>47818</v>
      </c>
      <c r="N28" s="1808">
        <f t="shared" si="2"/>
        <v>88904.000000000015</v>
      </c>
      <c r="O28" s="1812">
        <f t="shared" si="2"/>
        <v>87684</v>
      </c>
      <c r="P28" s="1812">
        <f t="shared" si="2"/>
        <v>87684</v>
      </c>
    </row>
  </sheetData>
  <mergeCells count="11">
    <mergeCell ref="B15:D15"/>
    <mergeCell ref="E15:G15"/>
    <mergeCell ref="H15:J15"/>
    <mergeCell ref="K15:M15"/>
    <mergeCell ref="N15:P15"/>
    <mergeCell ref="A1:O1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F22"/>
    </sheetView>
  </sheetViews>
  <sheetFormatPr defaultRowHeight="12.75" x14ac:dyDescent="0.2"/>
  <cols>
    <col min="1" max="1" width="38.7109375" customWidth="1"/>
    <col min="2" max="2" width="13.140625" customWidth="1"/>
    <col min="3" max="4" width="0.28515625" customWidth="1"/>
    <col min="5" max="5" width="35.42578125" customWidth="1"/>
    <col min="6" max="6" width="16.85546875" customWidth="1"/>
    <col min="7" max="8" width="0.28515625" customWidth="1"/>
  </cols>
  <sheetData>
    <row r="1" spans="1:8" ht="37.5" customHeight="1" x14ac:dyDescent="0.25">
      <c r="A1" s="1920" t="s">
        <v>516</v>
      </c>
      <c r="B1" s="1921"/>
      <c r="C1" s="1921"/>
      <c r="D1" s="1921"/>
      <c r="E1" s="1921"/>
      <c r="F1" s="1921"/>
      <c r="G1" s="421"/>
      <c r="H1" s="421"/>
    </row>
    <row r="2" spans="1:8" ht="6" customHeight="1" thickBot="1" x14ac:dyDescent="0.25">
      <c r="A2" s="369"/>
      <c r="B2" s="369"/>
      <c r="C2" s="369"/>
      <c r="D2" s="369"/>
      <c r="E2" s="369"/>
      <c r="F2" s="369"/>
    </row>
    <row r="3" spans="1:8" ht="13.5" thickBot="1" x14ac:dyDescent="0.25">
      <c r="A3" s="1922" t="s">
        <v>41</v>
      </c>
      <c r="B3" s="1923"/>
      <c r="C3" s="552"/>
      <c r="D3" s="609"/>
      <c r="E3" s="1924" t="s">
        <v>127</v>
      </c>
      <c r="F3" s="1925"/>
      <c r="G3" s="618"/>
      <c r="H3" s="391"/>
    </row>
    <row r="4" spans="1:8" ht="6.75" customHeight="1" thickBot="1" x14ac:dyDescent="0.25">
      <c r="A4" s="155"/>
      <c r="B4" s="405"/>
      <c r="C4" s="406"/>
      <c r="D4" s="405"/>
      <c r="E4" s="406"/>
      <c r="F4" s="406"/>
      <c r="G4" s="16"/>
      <c r="H4" s="624"/>
    </row>
    <row r="5" spans="1:8" ht="23.25" customHeight="1" thickBot="1" x14ac:dyDescent="0.25">
      <c r="A5" s="544"/>
      <c r="B5" s="619" t="s">
        <v>396</v>
      </c>
      <c r="C5" s="620" t="s">
        <v>397</v>
      </c>
      <c r="D5" s="1254"/>
      <c r="E5" s="622"/>
      <c r="F5" s="619" t="s">
        <v>396</v>
      </c>
      <c r="G5" s="619" t="s">
        <v>397</v>
      </c>
      <c r="H5" s="1254"/>
    </row>
    <row r="6" spans="1:8" ht="14.25" customHeight="1" x14ac:dyDescent="0.2">
      <c r="A6" s="10"/>
      <c r="B6" s="71"/>
      <c r="C6" s="621"/>
      <c r="D6" s="623"/>
      <c r="E6" s="393" t="s">
        <v>10</v>
      </c>
      <c r="F6" s="72">
        <f>'2.sz.melléklet'!C379</f>
        <v>250958</v>
      </c>
      <c r="G6" s="623">
        <f>'2.sz.melléklet'!C380</f>
        <v>83587</v>
      </c>
      <c r="H6" s="1302">
        <f>SUM('1.sz. melléklet'!S18)</f>
        <v>171697</v>
      </c>
    </row>
    <row r="7" spans="1:8" x14ac:dyDescent="0.2">
      <c r="A7" s="58" t="s">
        <v>192</v>
      </c>
      <c r="B7" s="73">
        <f>'2.sz.melléklet'!D157</f>
        <v>548294</v>
      </c>
      <c r="C7" s="73">
        <f>SUM('2.sz.melléklet'!D158)</f>
        <v>100</v>
      </c>
      <c r="D7" s="1298">
        <f>SUM('1.sz. melléklet'!S5)</f>
        <v>0</v>
      </c>
      <c r="E7" s="387" t="s">
        <v>340</v>
      </c>
      <c r="F7" s="73">
        <f>'2.sz.melléklet'!D379</f>
        <v>73576</v>
      </c>
      <c r="G7" s="611">
        <f>'2.sz.melléklet'!D380</f>
        <v>23898</v>
      </c>
      <c r="H7" s="1302">
        <f>SUM('1.sz. melléklet'!S19)</f>
        <v>48250</v>
      </c>
    </row>
    <row r="8" spans="1:8" x14ac:dyDescent="0.2">
      <c r="A8" s="58" t="s">
        <v>329</v>
      </c>
      <c r="B8" s="73">
        <f>'2.sz.melléklet'!C157</f>
        <v>96311</v>
      </c>
      <c r="C8" s="611">
        <f>SUM('2.sz.melléklet'!C158)</f>
        <v>14582</v>
      </c>
      <c r="D8" s="1298">
        <f>SUM('1.sz. melléklet'!S6)</f>
        <v>22478</v>
      </c>
      <c r="E8" s="387" t="s">
        <v>21</v>
      </c>
      <c r="F8" s="73">
        <f>'2.sz.melléklet'!E379</f>
        <v>298864</v>
      </c>
      <c r="G8" s="611">
        <f>'2.sz.melléklet'!E380</f>
        <v>32456</v>
      </c>
      <c r="H8" s="1302">
        <f>SUM('1.sz. melléklet'!S20)</f>
        <v>76383</v>
      </c>
    </row>
    <row r="9" spans="1:8" x14ac:dyDescent="0.2">
      <c r="A9" s="58" t="s">
        <v>332</v>
      </c>
      <c r="B9" s="73">
        <f>SUM('2.sz.melléklet'!F157)</f>
        <v>19205</v>
      </c>
      <c r="C9" s="611">
        <f>SUM('2.sz.melléklet'!H11+'2.sz.melléklet'!F158)</f>
        <v>0</v>
      </c>
      <c r="D9" s="611">
        <f>SUM('2.sz.melléklet'!F159+5600)</f>
        <v>5600</v>
      </c>
      <c r="E9" s="387" t="s">
        <v>241</v>
      </c>
      <c r="F9" s="389">
        <f>'2.sz.melléklet'!F379</f>
        <v>50501</v>
      </c>
      <c r="G9" s="611">
        <f>'2.sz.melléklet'!F380</f>
        <v>0</v>
      </c>
      <c r="H9" s="1302">
        <f>SUM('1.sz. melléklet'!S21)</f>
        <v>0</v>
      </c>
    </row>
    <row r="10" spans="1:8" ht="13.5" thickBot="1" x14ac:dyDescent="0.25">
      <c r="A10" s="388" t="s">
        <v>357</v>
      </c>
      <c r="B10" s="389">
        <f>'2.sz.melléklet'!E157</f>
        <v>113279</v>
      </c>
      <c r="C10" s="612">
        <f>'2.sz.melléklet'!E158</f>
        <v>165</v>
      </c>
      <c r="D10" s="610">
        <f>SUM('2.sz.melléklet'!E159)</f>
        <v>0</v>
      </c>
      <c r="E10" s="387" t="s">
        <v>358</v>
      </c>
      <c r="F10" s="152">
        <f>'2.sz.melléklet'!I379</f>
        <v>41708</v>
      </c>
      <c r="G10" s="625">
        <f>'2.sz.melléklet'!I380</f>
        <v>0</v>
      </c>
      <c r="H10" s="1303">
        <f>SUM('1.sz. melléklet'!S22)</f>
        <v>0</v>
      </c>
    </row>
    <row r="11" spans="1:8" ht="13.5" thickBot="1" x14ac:dyDescent="0.25">
      <c r="A11" s="390" t="s">
        <v>205</v>
      </c>
      <c r="B11" s="398">
        <f>SUM(B7:B10)</f>
        <v>777089</v>
      </c>
      <c r="C11" s="613">
        <f>SUM(C7:C10)</f>
        <v>14847</v>
      </c>
      <c r="D11" s="1299">
        <f>SUM(D7:D10)</f>
        <v>28078</v>
      </c>
      <c r="E11" s="401" t="s">
        <v>208</v>
      </c>
      <c r="F11" s="398">
        <f>SUM(F6:F10)</f>
        <v>715607</v>
      </c>
      <c r="G11" s="857">
        <f>SUM(G6:G10)</f>
        <v>139941</v>
      </c>
      <c r="H11" s="1305">
        <f>SUM(H6:H10)</f>
        <v>296330</v>
      </c>
    </row>
    <row r="12" spans="1:8" x14ac:dyDescent="0.2">
      <c r="A12" s="62" t="s">
        <v>105</v>
      </c>
      <c r="B12" s="72">
        <f>'2.sz.melléklet'!I157</f>
        <v>30430</v>
      </c>
      <c r="C12" s="614">
        <f>'2.sz.melléklet'!I158</f>
        <v>0</v>
      </c>
      <c r="D12" s="1300" t="e">
        <f>SUM('1.sz. melléklet'!S9)</f>
        <v>#REF!</v>
      </c>
      <c r="E12" s="387" t="s">
        <v>209</v>
      </c>
      <c r="F12" s="73">
        <f>'2.sz.melléklet'!G379</f>
        <v>227360</v>
      </c>
      <c r="G12" s="614">
        <f>'2.sz.melléklet'!G380</f>
        <v>0</v>
      </c>
      <c r="H12" s="1304">
        <f>SUM('1.sz. melléklet'!S24)</f>
        <v>0</v>
      </c>
    </row>
    <row r="13" spans="1:8" x14ac:dyDescent="0.2">
      <c r="A13" s="58" t="s">
        <v>235</v>
      </c>
      <c r="B13" s="73">
        <f>SUM('2.sz.melléklet'!G157)</f>
        <v>240017</v>
      </c>
      <c r="C13" s="612">
        <f>SUM('2.sz.melléklet'!H15+'2.sz.melléklet'!G158)</f>
        <v>0</v>
      </c>
      <c r="D13" s="1301" t="e">
        <f>SUM('1.sz. melléklet'!D8+'1.sz. melléklet'!D11)</f>
        <v>#REF!</v>
      </c>
      <c r="E13" s="392" t="s">
        <v>355</v>
      </c>
      <c r="F13" s="389">
        <f>'2.sz.melléklet'!H379</f>
        <v>297239</v>
      </c>
      <c r="G13" s="611">
        <f>'2.sz.melléklet'!H380</f>
        <v>2790</v>
      </c>
      <c r="H13" s="1302">
        <f>SUM('1.sz. melléklet'!S23)</f>
        <v>7559</v>
      </c>
    </row>
    <row r="14" spans="1:8" ht="13.5" thickBot="1" x14ac:dyDescent="0.25">
      <c r="A14" s="480"/>
      <c r="B14" s="395"/>
      <c r="C14" s="615"/>
      <c r="D14" s="71"/>
      <c r="E14" s="394" t="s">
        <v>335</v>
      </c>
      <c r="F14" s="395">
        <f>'2.sz.melléklet'!J379</f>
        <v>169055</v>
      </c>
      <c r="G14" s="625">
        <f>'2.sz.melléklet'!J380</f>
        <v>0</v>
      </c>
      <c r="H14" s="1303">
        <f>SUM('1.sz. melléklet'!S25)</f>
        <v>0</v>
      </c>
    </row>
    <row r="15" spans="1:8" ht="13.5" thickBot="1" x14ac:dyDescent="0.25">
      <c r="A15" s="390" t="s">
        <v>14</v>
      </c>
      <c r="B15" s="398">
        <f>SUM(B12:B13)</f>
        <v>270447</v>
      </c>
      <c r="C15" s="613">
        <f>SUM(C12:C14)</f>
        <v>0</v>
      </c>
      <c r="D15" s="1299" t="e">
        <f>SUM(D12:D14)</f>
        <v>#REF!</v>
      </c>
      <c r="E15" s="401" t="s">
        <v>210</v>
      </c>
      <c r="F15" s="398">
        <f>SUM(F12:F14)</f>
        <v>693654</v>
      </c>
      <c r="G15" s="613">
        <f>SUM(G12:G14)</f>
        <v>2790</v>
      </c>
      <c r="H15" s="1306">
        <f>SUM(H12:H14)</f>
        <v>7559</v>
      </c>
    </row>
    <row r="16" spans="1:8" x14ac:dyDescent="0.2">
      <c r="A16" s="62"/>
      <c r="B16" s="72"/>
      <c r="C16" s="615"/>
      <c r="D16" s="71"/>
      <c r="E16" s="392"/>
      <c r="F16" s="389"/>
      <c r="G16" s="614"/>
      <c r="H16" s="423"/>
    </row>
    <row r="17" spans="1:8" x14ac:dyDescent="0.2">
      <c r="A17" s="58" t="s">
        <v>333</v>
      </c>
      <c r="B17" s="73">
        <f>SUM('2.sz.melléklet'!K157)</f>
        <v>100000</v>
      </c>
      <c r="C17" s="615">
        <f>SUM('2.sz.melléklet'!K71)</f>
        <v>0</v>
      </c>
      <c r="D17" s="71">
        <f>SUM('5. sz.melléklet'!E46)</f>
        <v>0</v>
      </c>
      <c r="E17" s="394"/>
      <c r="F17" s="71"/>
      <c r="G17" s="611">
        <f>SUM('2.sz.melléklet'!M308)</f>
        <v>0</v>
      </c>
      <c r="H17" s="80">
        <f>SUM('2.sz.melléklet'!M309)</f>
        <v>0</v>
      </c>
    </row>
    <row r="18" spans="1:8" ht="13.5" thickBot="1" x14ac:dyDescent="0.25">
      <c r="A18" s="399" t="s">
        <v>333</v>
      </c>
      <c r="B18" s="400">
        <f>SUM(B16:B17)</f>
        <v>100000</v>
      </c>
      <c r="C18" s="616">
        <f>SUM(C16:C17)</f>
        <v>0</v>
      </c>
      <c r="D18" s="403">
        <f>SUM(D17)</f>
        <v>0</v>
      </c>
      <c r="E18" s="1049" t="s">
        <v>475</v>
      </c>
      <c r="F18" s="395">
        <v>3424</v>
      </c>
      <c r="G18" s="1050">
        <f>SUM('2.sz.melléklet'!M174)</f>
        <v>0</v>
      </c>
      <c r="H18" s="1308">
        <f>SUM('2.sz.melléklet'!M175)</f>
        <v>0</v>
      </c>
    </row>
    <row r="19" spans="1:8" ht="13.5" thickBot="1" x14ac:dyDescent="0.25">
      <c r="A19" s="390" t="s">
        <v>207</v>
      </c>
      <c r="B19" s="398">
        <f>B11+B15+B18</f>
        <v>1147536</v>
      </c>
      <c r="C19" s="613">
        <f>SUM(C11,C15,C18)</f>
        <v>14847</v>
      </c>
      <c r="D19" s="1299" t="e">
        <f>SUM(D11+D15+D18)</f>
        <v>#REF!</v>
      </c>
      <c r="E19" s="401" t="s">
        <v>130</v>
      </c>
      <c r="F19" s="398">
        <f>SUM(F17:F18)</f>
        <v>3424</v>
      </c>
      <c r="G19" s="857">
        <f>SUM(G17:G18)</f>
        <v>0</v>
      </c>
      <c r="H19" s="1307">
        <f>SUM(H17:H18)</f>
        <v>0</v>
      </c>
    </row>
    <row r="20" spans="1:8" ht="25.5" customHeight="1" x14ac:dyDescent="0.2">
      <c r="A20" s="63" t="s">
        <v>474</v>
      </c>
      <c r="B20" s="72">
        <f>SUM('2.sz.melléklet'!J157)</f>
        <v>350000</v>
      </c>
      <c r="C20" s="614">
        <f>SUM('2.sz.melléklet'!J71)</f>
        <v>0</v>
      </c>
      <c r="D20" s="423">
        <f>SUM('2.sz.melléklet'!J72)-380</f>
        <v>-380</v>
      </c>
      <c r="E20" s="1052" t="s">
        <v>45</v>
      </c>
      <c r="F20" s="72">
        <f>'2.sz.melléklet'!K379+'2.sz.melléklet'!L379</f>
        <v>84851</v>
      </c>
      <c r="G20" s="614">
        <f>'2.sz.melléklet'!K380+'2.sz.melléklet'!L380</f>
        <v>7708</v>
      </c>
      <c r="H20" s="423">
        <f>SUM('2.sz.melléklet'!K313+'2.sz.melléklet'!L313)</f>
        <v>0</v>
      </c>
    </row>
    <row r="21" spans="1:8" ht="13.5" thickBot="1" x14ac:dyDescent="0.25">
      <c r="A21" s="388" t="s">
        <v>211</v>
      </c>
      <c r="B21" s="389"/>
      <c r="C21" s="617">
        <f>SUM('2.sz.melléklet'!K11)</f>
        <v>0</v>
      </c>
      <c r="D21" s="71">
        <f>SUM('2.sz.melléklet'!K111)</f>
        <v>0</v>
      </c>
      <c r="E21" s="1051" t="s">
        <v>476</v>
      </c>
      <c r="F21" s="152"/>
      <c r="G21" s="1050">
        <f>SUM('2.sz.melléklet'!M166)</f>
        <v>0</v>
      </c>
      <c r="H21" s="1308">
        <f>SUM('2.sz.melléklet'!M167)</f>
        <v>0</v>
      </c>
    </row>
    <row r="22" spans="1:8" ht="13.5" thickBot="1" x14ac:dyDescent="0.25">
      <c r="A22" s="390" t="s">
        <v>212</v>
      </c>
      <c r="B22" s="398">
        <f>B19+B21+B20</f>
        <v>1497536</v>
      </c>
      <c r="C22" s="613">
        <f>SUM(C19:C21)</f>
        <v>14847</v>
      </c>
      <c r="D22" s="1299" t="e">
        <f>SUM(D19+D20+D21)</f>
        <v>#REF!</v>
      </c>
      <c r="E22" s="401" t="s">
        <v>213</v>
      </c>
      <c r="F22" s="398">
        <f>F11+F15+F19+F20</f>
        <v>1497536</v>
      </c>
      <c r="G22" s="1053">
        <f>SUM(G11+G15+G20+G19+G21)</f>
        <v>150439</v>
      </c>
      <c r="H22" s="1305">
        <f>SUM(H11+H15+H19+H20+H21)</f>
        <v>303889</v>
      </c>
    </row>
    <row r="23" spans="1:8" x14ac:dyDescent="0.2">
      <c r="H23" s="71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25" sqref="L25"/>
    </sheetView>
  </sheetViews>
  <sheetFormatPr defaultRowHeight="12.75" x14ac:dyDescent="0.2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13.5" thickBot="1" x14ac:dyDescent="0.25"/>
    <row r="2" spans="1:16" ht="29.25" customHeight="1" thickBot="1" x14ac:dyDescent="0.3">
      <c r="A2" s="1926" t="s">
        <v>517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8"/>
    </row>
    <row r="3" spans="1:16" x14ac:dyDescent="0.2">
      <c r="A3" s="22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228"/>
    </row>
    <row r="4" spans="1:16" ht="13.5" thickBot="1" x14ac:dyDescent="0.25">
      <c r="A4" s="229" t="s">
        <v>140</v>
      </c>
      <c r="B4" s="230"/>
      <c r="C4" s="231"/>
      <c r="D4" s="231"/>
      <c r="E4" s="231"/>
      <c r="F4" s="230"/>
      <c r="G4" s="232"/>
      <c r="H4" s="232"/>
      <c r="I4" s="233"/>
      <c r="J4" s="234"/>
      <c r="K4" s="234"/>
      <c r="L4" s="235"/>
      <c r="M4" s="234"/>
      <c r="N4" s="236"/>
    </row>
    <row r="5" spans="1:16" x14ac:dyDescent="0.2">
      <c r="A5" s="39" t="s">
        <v>33</v>
      </c>
      <c r="B5" s="42" t="s">
        <v>1</v>
      </c>
      <c r="C5" s="40" t="s">
        <v>34</v>
      </c>
      <c r="D5" s="40" t="s">
        <v>35</v>
      </c>
      <c r="E5" s="40" t="s">
        <v>36</v>
      </c>
      <c r="F5" s="40" t="s">
        <v>37</v>
      </c>
      <c r="G5" s="40" t="s">
        <v>38</v>
      </c>
      <c r="H5" s="40" t="s">
        <v>39</v>
      </c>
      <c r="I5" s="40" t="s">
        <v>40</v>
      </c>
      <c r="J5" s="40" t="s">
        <v>48</v>
      </c>
      <c r="K5" s="41" t="s">
        <v>49</v>
      </c>
      <c r="L5" s="40" t="s">
        <v>50</v>
      </c>
      <c r="M5" s="40" t="s">
        <v>51</v>
      </c>
      <c r="N5" s="42" t="s">
        <v>52</v>
      </c>
    </row>
    <row r="6" spans="1:16" ht="13.5" thickBot="1" x14ac:dyDescent="0.25">
      <c r="A6" s="43" t="s">
        <v>41</v>
      </c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6" x14ac:dyDescent="0.2">
      <c r="A7" s="46"/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6" x14ac:dyDescent="0.2">
      <c r="A8" s="49" t="s">
        <v>329</v>
      </c>
      <c r="B8" s="326">
        <f>SUM('2.sz.melléklet'!C157)</f>
        <v>96311</v>
      </c>
      <c r="C8" s="327">
        <f>SUM('17. sz.melléklet'!C8+'17. sz.melléklet'!C39+'17. sz.melléklet'!C57+'17. sz.melléklet'!C75+'17. sz.melléklet'!C93)</f>
        <v>8025.9166666666661</v>
      </c>
      <c r="D8" s="327">
        <f>SUM('17. sz.melléklet'!D8+'17. sz.melléklet'!D39+'17. sz.melléklet'!D57+'17. sz.melléklet'!D75+'17. sz.melléklet'!D93)</f>
        <v>8025.9166666666661</v>
      </c>
      <c r="E8" s="327">
        <f>SUM('17. sz.melléklet'!E8+'17. sz.melléklet'!E39+'17. sz.melléklet'!E57+'17. sz.melléklet'!E75+'17. sz.melléklet'!E93)</f>
        <v>8025.9166666666661</v>
      </c>
      <c r="F8" s="327">
        <f>SUM('17. sz.melléklet'!F8+'17. sz.melléklet'!F39+'17. sz.melléklet'!F57+'17. sz.melléklet'!F75+'17. sz.melléklet'!F93)</f>
        <v>8025.9166666666661</v>
      </c>
      <c r="G8" s="327">
        <f>SUM('17. sz.melléklet'!G8+'17. sz.melléklet'!G39+'17. sz.melléklet'!G57+'17. sz.melléklet'!G75+'17. sz.melléklet'!G93)</f>
        <v>8025.9166666666661</v>
      </c>
      <c r="H8" s="327">
        <f>SUM('17. sz.melléklet'!H8+'17. sz.melléklet'!H39+'17. sz.melléklet'!H57+'17. sz.melléklet'!H75+'17. sz.melléklet'!H93)</f>
        <v>8025.9166666666661</v>
      </c>
      <c r="I8" s="327">
        <f>SUM('17. sz.melléklet'!I8+'17. sz.melléklet'!I39+'17. sz.melléklet'!I57+'17. sz.melléklet'!I75+'17. sz.melléklet'!I93)</f>
        <v>8025.9166666666661</v>
      </c>
      <c r="J8" s="327">
        <f>SUM('17. sz.melléklet'!J8+'17. sz.melléklet'!J39+'17. sz.melléklet'!J57+'17. sz.melléklet'!J75+'17. sz.melléklet'!J93)</f>
        <v>11410.666666666668</v>
      </c>
      <c r="K8" s="327">
        <f>SUM('17. sz.melléklet'!K8+'17. sz.melléklet'!K39+'17. sz.melléklet'!K57+'17. sz.melléklet'!K75+'17. sz.melléklet'!K93)</f>
        <v>8025.9166666666661</v>
      </c>
      <c r="L8" s="327">
        <f>SUM('17. sz.melléklet'!L8+'17. sz.melléklet'!L39+'17. sz.melléklet'!L57+'17. sz.melléklet'!L75+'17. sz.melléklet'!L93)</f>
        <v>8025.9166666666661</v>
      </c>
      <c r="M8" s="327">
        <f>SUM('17. sz.melléklet'!M8+'17. sz.melléklet'!M39+'17. sz.melléklet'!M57+'17. sz.melléklet'!M75+'17. sz.melléklet'!M93)</f>
        <v>8025.9166666666661</v>
      </c>
      <c r="N8" s="327">
        <f>SUM('17. sz.melléklet'!N8+'17. sz.melléklet'!N39+'17. sz.melléklet'!N57+'17. sz.melléklet'!N75+'17. sz.melléklet'!N93)</f>
        <v>8025.9166666666661</v>
      </c>
      <c r="O8" s="238"/>
      <c r="P8" s="309"/>
    </row>
    <row r="9" spans="1:16" x14ac:dyDescent="0.2">
      <c r="A9" s="49" t="s">
        <v>192</v>
      </c>
      <c r="B9" s="329">
        <f>SUM('2.sz.melléklet'!D157)</f>
        <v>548294</v>
      </c>
      <c r="C9" s="330">
        <f>SUM('17. sz.melléklet'!C9+'17. sz.melléklet'!C38)</f>
        <v>4008.3333333333335</v>
      </c>
      <c r="D9" s="330">
        <f>SUM('17. sz.melléklet'!D9+'17. sz.melléklet'!D38)</f>
        <v>5008.333333333333</v>
      </c>
      <c r="E9" s="330">
        <f>SUM('17. sz.melléklet'!E9+'17. sz.melléklet'!E38)</f>
        <v>7009</v>
      </c>
      <c r="F9" s="330">
        <f>SUM('17. sz.melléklet'!F9+'17. sz.melléklet'!F38)</f>
        <v>201009</v>
      </c>
      <c r="G9" s="330">
        <f>SUM('17. sz.melléklet'!G9+'17. sz.melléklet'!G38)</f>
        <v>4009</v>
      </c>
      <c r="H9" s="330">
        <f>SUM('17. sz.melléklet'!H9+'17. sz.melléklet'!H38)</f>
        <v>4009</v>
      </c>
      <c r="I9" s="330">
        <f>SUM('17. sz.melléklet'!I9+'17. sz.melléklet'!I38)</f>
        <v>52008.333333333336</v>
      </c>
      <c r="J9" s="330">
        <f>SUM('17. sz.melléklet'!J9+'17. sz.melléklet'!J38)</f>
        <v>53008.333333333336</v>
      </c>
      <c r="K9" s="330">
        <f>SUM('17. sz.melléklet'!K9+'17. sz.melléklet'!K38)</f>
        <v>200008.33333333334</v>
      </c>
      <c r="L9" s="330">
        <f>SUM('17. sz.melléklet'!L9+'17. sz.melléklet'!L38)</f>
        <v>4008.3333333333335</v>
      </c>
      <c r="M9" s="330">
        <f>SUM('17. sz.melléklet'!M9+'17. sz.melléklet'!M38)</f>
        <v>4008.3333333333335</v>
      </c>
      <c r="N9" s="330">
        <f>SUM('17. sz.melléklet'!N9+'17. sz.melléklet'!N38)</f>
        <v>10202.333333333334</v>
      </c>
      <c r="O9" s="238"/>
      <c r="P9" s="309"/>
    </row>
    <row r="10" spans="1:16" x14ac:dyDescent="0.2">
      <c r="A10" s="49" t="s">
        <v>348</v>
      </c>
      <c r="B10" s="329">
        <f>SUM('2.sz.melléklet'!E157)</f>
        <v>113279</v>
      </c>
      <c r="C10" s="330">
        <f>SUM('17. sz.melléklet'!C10)</f>
        <v>9439.9166666666661</v>
      </c>
      <c r="D10" s="330">
        <f>SUM('17. sz.melléklet'!D10)</f>
        <v>9439.9166666666661</v>
      </c>
      <c r="E10" s="330">
        <f>SUM('17. sz.melléklet'!E10)</f>
        <v>9439.9166666666661</v>
      </c>
      <c r="F10" s="330">
        <f>SUM('17. sz.melléklet'!F10)</f>
        <v>9439.9166666666661</v>
      </c>
      <c r="G10" s="330">
        <f>SUM('17. sz.melléklet'!G10)</f>
        <v>9439.9166666666661</v>
      </c>
      <c r="H10" s="330">
        <f>SUM('17. sz.melléklet'!H10)</f>
        <v>9439.9166666666661</v>
      </c>
      <c r="I10" s="330">
        <f>SUM('17. sz.melléklet'!I10)</f>
        <v>9439.9166666666661</v>
      </c>
      <c r="J10" s="330">
        <f>SUM('17. sz.melléklet'!J10)</f>
        <v>9439.9166666666661</v>
      </c>
      <c r="K10" s="330">
        <f>SUM('17. sz.melléklet'!K10)</f>
        <v>9439.9166666666661</v>
      </c>
      <c r="L10" s="330">
        <f>SUM('17. sz.melléklet'!L10)</f>
        <v>9439.9166666666661</v>
      </c>
      <c r="M10" s="330">
        <f>SUM('17. sz.melléklet'!M10)</f>
        <v>9439.9166666666661</v>
      </c>
      <c r="N10" s="330">
        <f>SUM('17. sz.melléklet'!N10)</f>
        <v>9439.9166666666661</v>
      </c>
      <c r="O10" s="238"/>
      <c r="P10" s="309"/>
    </row>
    <row r="11" spans="1:16" x14ac:dyDescent="0.2">
      <c r="A11" s="49" t="s">
        <v>105</v>
      </c>
      <c r="B11" s="329">
        <f>SUM('5. sz.melléklet'!C41)</f>
        <v>30430</v>
      </c>
      <c r="C11" s="330">
        <f>SUM('17. sz.melléklet'!C11)</f>
        <v>0</v>
      </c>
      <c r="D11" s="330">
        <f>SUM('17. sz.melléklet'!D11)</f>
        <v>0</v>
      </c>
      <c r="E11" s="330">
        <f>SUM('17. sz.melléklet'!E11)</f>
        <v>3000</v>
      </c>
      <c r="F11" s="330">
        <f>SUM('17. sz.melléklet'!F11)</f>
        <v>0</v>
      </c>
      <c r="G11" s="330">
        <f>SUM('17. sz.melléklet'!G11)</f>
        <v>3000</v>
      </c>
      <c r="H11" s="330">
        <f>SUM('17. sz.melléklet'!H11)</f>
        <v>3000</v>
      </c>
      <c r="I11" s="330">
        <f>SUM('17. sz.melléklet'!I11)</f>
        <v>0</v>
      </c>
      <c r="J11" s="330">
        <f>SUM('17. sz.melléklet'!J11)</f>
        <v>10000</v>
      </c>
      <c r="K11" s="330">
        <f>SUM('17. sz.melléklet'!K11)</f>
        <v>0</v>
      </c>
      <c r="L11" s="330">
        <f>SUM('17. sz.melléklet'!L11)</f>
        <v>0</v>
      </c>
      <c r="M11" s="330">
        <f>SUM('17. sz.melléklet'!M11)</f>
        <v>0</v>
      </c>
      <c r="N11" s="330">
        <f>SUM('17. sz.melléklet'!N11)</f>
        <v>0</v>
      </c>
      <c r="O11" s="238"/>
      <c r="P11" s="309"/>
    </row>
    <row r="12" spans="1:16" x14ac:dyDescent="0.2">
      <c r="A12" s="49" t="s">
        <v>601</v>
      </c>
      <c r="B12" s="329">
        <f>SUM('5. sz.melléklet'!C23)</f>
        <v>259222</v>
      </c>
      <c r="C12" s="330">
        <f>SUM('17. sz.melléklet'!C12)</f>
        <v>740</v>
      </c>
      <c r="D12" s="330">
        <f>SUM('17. sz.melléklet'!D12)</f>
        <v>2725</v>
      </c>
      <c r="E12" s="330">
        <f>SUM('17. sz.melléklet'!E12)</f>
        <v>1740</v>
      </c>
      <c r="F12" s="330">
        <f>SUM('17. sz.melléklet'!F12)</f>
        <v>3740</v>
      </c>
      <c r="G12" s="330">
        <f>SUM('17. sz.melléklet'!G12)</f>
        <v>1820</v>
      </c>
      <c r="H12" s="330">
        <f>SUM('17. sz.melléklet'!H12)</f>
        <v>740</v>
      </c>
      <c r="I12" s="330">
        <f>SUM('17. sz.melléklet'!I12)</f>
        <v>1840</v>
      </c>
      <c r="J12" s="330">
        <f>SUM('17. sz.melléklet'!J12)</f>
        <v>1820</v>
      </c>
      <c r="K12" s="330">
        <f>SUM('17. sz.melléklet'!K12)</f>
        <v>740</v>
      </c>
      <c r="L12" s="330">
        <f>SUM('17. sz.melléklet'!L12)</f>
        <v>240740</v>
      </c>
      <c r="M12" s="330">
        <f>SUM('17. sz.melléklet'!M12)</f>
        <v>1820</v>
      </c>
      <c r="N12" s="330">
        <f>SUM('17. sz.melléklet'!N12)</f>
        <v>842</v>
      </c>
      <c r="O12" s="238"/>
      <c r="P12" s="309"/>
    </row>
    <row r="13" spans="1:16" x14ac:dyDescent="0.2">
      <c r="A13" s="49" t="s">
        <v>5</v>
      </c>
      <c r="B13" s="329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  <c r="O13" s="238"/>
      <c r="P13" s="309"/>
    </row>
    <row r="14" spans="1:16" x14ac:dyDescent="0.2">
      <c r="A14" s="49" t="s">
        <v>600</v>
      </c>
      <c r="B14" s="329">
        <f>SUM('2.sz.melléklet'!J157)</f>
        <v>350000</v>
      </c>
      <c r="C14" s="330">
        <f>SUM('17. sz.melléklet'!C14)</f>
        <v>41000</v>
      </c>
      <c r="D14" s="330">
        <f>SUM('17. sz.melléklet'!D14)</f>
        <v>48000</v>
      </c>
      <c r="E14" s="330">
        <f>SUM('17. sz.melléklet'!E14)</f>
        <v>60000</v>
      </c>
      <c r="F14" s="330">
        <f>SUM('17. sz.melléklet'!F14)</f>
        <v>13000</v>
      </c>
      <c r="G14" s="330">
        <f>SUM('17. sz.melléklet'!G14)</f>
        <v>50000</v>
      </c>
      <c r="H14" s="330">
        <f>SUM('17. sz.melléklet'!H14)</f>
        <v>113000</v>
      </c>
      <c r="I14" s="330">
        <f>SUM('17. sz.melléklet'!I14)</f>
        <v>25000</v>
      </c>
      <c r="J14" s="330">
        <f>SUM('17. sz.melléklet'!J14)</f>
        <v>0</v>
      </c>
      <c r="K14" s="330">
        <f>SUM('17. sz.melléklet'!K14)</f>
        <v>0</v>
      </c>
      <c r="L14" s="330">
        <f>SUM('17. sz.melléklet'!L14)</f>
        <v>0</v>
      </c>
      <c r="M14" s="330">
        <f>SUM('17. sz.melléklet'!M14)</f>
        <v>0</v>
      </c>
      <c r="N14" s="330">
        <f>SUM('17. sz.melléklet'!N14)</f>
        <v>0</v>
      </c>
      <c r="O14" s="238"/>
      <c r="P14" s="309"/>
    </row>
    <row r="15" spans="1:16" ht="13.5" thickBot="1" x14ac:dyDescent="0.25">
      <c r="A15" s="932" t="s">
        <v>333</v>
      </c>
      <c r="B15" s="1805">
        <f>SUM('2.sz.melléklet'!K157)</f>
        <v>100000</v>
      </c>
      <c r="C15" s="333">
        <f>SUM('17. sz.melléklet'!C15)</f>
        <v>0</v>
      </c>
      <c r="D15" s="333">
        <f>SUM('17. sz.melléklet'!D15)</f>
        <v>0</v>
      </c>
      <c r="E15" s="333">
        <f>SUM('17. sz.melléklet'!E15)</f>
        <v>0</v>
      </c>
      <c r="F15" s="333">
        <f>SUM('17. sz.melléklet'!F15)</f>
        <v>100000</v>
      </c>
      <c r="G15" s="333">
        <f>SUM('17. sz.melléklet'!G15)</f>
        <v>0</v>
      </c>
      <c r="H15" s="333">
        <f>SUM('17. sz.melléklet'!H15)</f>
        <v>0</v>
      </c>
      <c r="I15" s="333">
        <f>SUM('17. sz.melléklet'!I15)</f>
        <v>0</v>
      </c>
      <c r="J15" s="333">
        <f>SUM('17. sz.melléklet'!J15)</f>
        <v>0</v>
      </c>
      <c r="K15" s="333">
        <f>SUM('17. sz.melléklet'!K15)</f>
        <v>0</v>
      </c>
      <c r="L15" s="333">
        <f>SUM('17. sz.melléklet'!L15)</f>
        <v>0</v>
      </c>
      <c r="M15" s="333">
        <f>SUM('17. sz.melléklet'!M15)</f>
        <v>0</v>
      </c>
      <c r="N15" s="333">
        <f>SUM('17. sz.melléklet'!N15)</f>
        <v>0</v>
      </c>
      <c r="O15" s="238"/>
      <c r="P15" s="309"/>
    </row>
    <row r="16" spans="1:16" ht="13.5" thickBot="1" x14ac:dyDescent="0.25">
      <c r="A16" s="51" t="s">
        <v>20</v>
      </c>
      <c r="B16" s="334">
        <f t="shared" ref="B16:N16" si="0">SUM(B8:B15)</f>
        <v>1497536</v>
      </c>
      <c r="C16" s="335">
        <f t="shared" si="0"/>
        <v>63214.166666666664</v>
      </c>
      <c r="D16" s="335">
        <f t="shared" si="0"/>
        <v>73199.166666666657</v>
      </c>
      <c r="E16" s="335">
        <f t="shared" si="0"/>
        <v>89214.833333333328</v>
      </c>
      <c r="F16" s="335">
        <f t="shared" si="0"/>
        <v>335214.83333333331</v>
      </c>
      <c r="G16" s="335">
        <f t="shared" si="0"/>
        <v>76294.833333333328</v>
      </c>
      <c r="H16" s="335">
        <f t="shared" si="0"/>
        <v>138214.83333333334</v>
      </c>
      <c r="I16" s="335">
        <f t="shared" si="0"/>
        <v>96314.166666666672</v>
      </c>
      <c r="J16" s="335">
        <f t="shared" si="0"/>
        <v>85678.916666666672</v>
      </c>
      <c r="K16" s="335">
        <f t="shared" si="0"/>
        <v>218214.16666666666</v>
      </c>
      <c r="L16" s="335">
        <f t="shared" si="0"/>
        <v>262214.16666666669</v>
      </c>
      <c r="M16" s="335">
        <f t="shared" si="0"/>
        <v>23294.166666666664</v>
      </c>
      <c r="N16" s="335">
        <f t="shared" si="0"/>
        <v>28510.166666666664</v>
      </c>
      <c r="O16" s="238"/>
      <c r="P16" s="309"/>
    </row>
    <row r="17" spans="1:16" x14ac:dyDescent="0.2">
      <c r="A17" s="52"/>
      <c r="B17" s="336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6"/>
      <c r="O17" s="238"/>
      <c r="P17" s="309"/>
    </row>
    <row r="18" spans="1:16" x14ac:dyDescent="0.2">
      <c r="A18" s="53" t="s">
        <v>42</v>
      </c>
      <c r="B18" s="328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8"/>
      <c r="O18" s="238"/>
      <c r="P18" s="309"/>
    </row>
    <row r="19" spans="1:16" x14ac:dyDescent="0.2">
      <c r="A19" s="54"/>
      <c r="B19" s="328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8"/>
      <c r="O19" s="238"/>
      <c r="P19" s="309"/>
    </row>
    <row r="20" spans="1:16" x14ac:dyDescent="0.2">
      <c r="A20" s="49" t="s">
        <v>43</v>
      </c>
      <c r="B20" s="326">
        <f>SUM('2.sz.melléklet'!C379+'2.sz.melléklet'!D379+'2.sz.melléklet'!E379+'2.sz.melléklet'!I379)</f>
        <v>665106</v>
      </c>
      <c r="C20" s="327">
        <f>SUM('17. sz.melléklet'!C20+'17. sz.melléklet'!C47+'17. sz.melléklet'!C64+'17. sz.melléklet'!C83+'17. sz.melléklet'!C101+330)</f>
        <v>55863.916666666672</v>
      </c>
      <c r="D20" s="327">
        <f>SUM('17. sz.melléklet'!D20+'17. sz.melléklet'!D47+'17. sz.melléklet'!D64+'17. sz.melléklet'!D83+'17. sz.melléklet'!D101+385)</f>
        <v>54673.416666666672</v>
      </c>
      <c r="E20" s="327">
        <f>SUM('17. sz.melléklet'!E20+'17. sz.melléklet'!E47+'17. sz.melléklet'!E64+'17. sz.melléklet'!E83+'17. sz.melléklet'!E101+300)</f>
        <v>56130.500000000007</v>
      </c>
      <c r="F20" s="327">
        <f>SUM('17. sz.melléklet'!F20+'17. sz.melléklet'!F47+'17. sz.melléklet'!F64+'17. sz.melléklet'!F83+'17. sz.melléklet'!F101)</f>
        <v>55830.500000000007</v>
      </c>
      <c r="G20" s="327">
        <f>SUM('17. sz.melléklet'!G20+'17. sz.melléklet'!G47+'17. sz.melléklet'!G64+'17. sz.melléklet'!G83+'17. sz.melléklet'!G101)</f>
        <v>55830.500000000007</v>
      </c>
      <c r="H20" s="327">
        <f>SUM('17. sz.melléklet'!H20+'17. sz.melléklet'!H47+'17. sz.melléklet'!H64+'17. sz.melléklet'!H83+'17. sz.melléklet'!H101)</f>
        <v>55830.500000000007</v>
      </c>
      <c r="I20" s="327">
        <f>SUM('17. sz.melléklet'!I20+'17. sz.melléklet'!I47+'17. sz.melléklet'!I64+'17. sz.melléklet'!I83+'17. sz.melléklet'!I101)</f>
        <v>55830.500000000007</v>
      </c>
      <c r="J20" s="327">
        <f>SUM('17. sz.melléklet'!J20+'17. sz.melléklet'!J47+'17. sz.melléklet'!J64+'17. sz.melléklet'!J83+'17. sz.melléklet'!J101)</f>
        <v>55830.500000000007</v>
      </c>
      <c r="K20" s="327">
        <f>SUM('17. sz.melléklet'!K20+'17. sz.melléklet'!K47+'17. sz.melléklet'!K64+'17. sz.melléklet'!K83+'17. sz.melléklet'!K101)</f>
        <v>55830.500000000007</v>
      </c>
      <c r="L20" s="327">
        <f>SUM('17. sz.melléklet'!L20+'17. sz.melléklet'!L47+'17. sz.melléklet'!L64+'17. sz.melléklet'!L83+'17. sz.melléklet'!L101)</f>
        <v>55830.500000000007</v>
      </c>
      <c r="M20" s="327">
        <f>SUM('17. sz.melléklet'!M20+'17. sz.melléklet'!M47+'17. sz.melléklet'!M64+'17. sz.melléklet'!M83+'17. sz.melléklet'!M101)</f>
        <v>55830.500000000007</v>
      </c>
      <c r="N20" s="327">
        <v>54049</v>
      </c>
      <c r="O20" s="238"/>
      <c r="P20" s="309"/>
    </row>
    <row r="21" spans="1:16" x14ac:dyDescent="0.2">
      <c r="A21" s="49" t="s">
        <v>44</v>
      </c>
      <c r="B21" s="326">
        <f>SUM('2.sz.melléklet'!G379)</f>
        <v>227360</v>
      </c>
      <c r="C21" s="327">
        <f>SUM('17. sz.melléklet'!C21)</f>
        <v>0</v>
      </c>
      <c r="D21" s="327">
        <f>SUM('17. sz.melléklet'!D21)</f>
        <v>1950</v>
      </c>
      <c r="E21" s="327">
        <f>SUM('17. sz.melléklet'!E21)</f>
        <v>5000</v>
      </c>
      <c r="F21" s="327">
        <f>SUM('17. sz.melléklet'!F21)</f>
        <v>5500</v>
      </c>
      <c r="G21" s="327">
        <f>SUM('17. sz.melléklet'!G21)</f>
        <v>500</v>
      </c>
      <c r="H21" s="327">
        <f>SUM('17. sz.melléklet'!H21)</f>
        <v>54000</v>
      </c>
      <c r="I21" s="327">
        <f>SUM('17. sz.melléklet'!I21)</f>
        <v>500</v>
      </c>
      <c r="J21" s="327">
        <f>SUM('17. sz.melléklet'!J21)</f>
        <v>950</v>
      </c>
      <c r="K21" s="327">
        <f>SUM('17. sz.melléklet'!K21)</f>
        <v>84000</v>
      </c>
      <c r="L21" s="327">
        <f>SUM('17. sz.melléklet'!L21)</f>
        <v>35000</v>
      </c>
      <c r="M21" s="327">
        <f>SUM('17. sz.melléklet'!M21)</f>
        <v>35000</v>
      </c>
      <c r="N21" s="327">
        <f>SUM('17. sz.melléklet'!N21)</f>
        <v>0</v>
      </c>
      <c r="O21" s="238"/>
      <c r="P21" s="309"/>
    </row>
    <row r="22" spans="1:16" x14ac:dyDescent="0.2">
      <c r="A22" s="49" t="s">
        <v>128</v>
      </c>
      <c r="B22" s="326">
        <f>SUM('2.sz.melléklet'!H379)</f>
        <v>297239</v>
      </c>
      <c r="C22" s="327">
        <f>SUM('17. sz.melléklet'!C22+'17. sz.melléklet'!C46+'17. sz.melléklet'!C65+'17. sz.melléklet'!C82+'17. sz.melléklet'!C100)</f>
        <v>508.41666666666669</v>
      </c>
      <c r="D22" s="327">
        <f>SUM('17. sz.melléklet'!D22+'17. sz.melléklet'!D46+'17. sz.melléklet'!D65+'17. sz.melléklet'!D82+'17. sz.melléklet'!D100)</f>
        <v>553.41666666666663</v>
      </c>
      <c r="E22" s="327">
        <f>SUM('17. sz.melléklet'!E22+'17. sz.melléklet'!E46+'17. sz.melléklet'!E65+'17. sz.melléklet'!E82+'17. sz.melléklet'!E100)</f>
        <v>841.41666666666663</v>
      </c>
      <c r="F22" s="327">
        <f>SUM('17. sz.melléklet'!F22+'17. sz.melléklet'!F46+'17. sz.melléklet'!F65+'17. sz.melléklet'!F82+'17. sz.melléklet'!F100)</f>
        <v>114371.41666666667</v>
      </c>
      <c r="G22" s="327">
        <f>SUM('17. sz.melléklet'!G22+'17. sz.melléklet'!G46+'17. sz.melléklet'!G65+'17. sz.melléklet'!G82+'17. sz.melléklet'!G100)</f>
        <v>19741.416666666668</v>
      </c>
      <c r="H22" s="327">
        <f>SUM('17. sz.melléklet'!H22+'17. sz.melléklet'!H46+'17. sz.melléklet'!H65+'17. sz.melléklet'!H82+'17. sz.melléklet'!H100)</f>
        <v>906.41666666666663</v>
      </c>
      <c r="I22" s="327">
        <f>SUM('17. sz.melléklet'!I22+'17. sz.melléklet'!I46+'17. sz.melléklet'!I65+'17. sz.melléklet'!I82+'17. sz.melléklet'!I100)</f>
        <v>34011.416666666664</v>
      </c>
      <c r="J22" s="327">
        <f>SUM('17. sz.melléklet'!J22+'17. sz.melléklet'!J46+'17. sz.melléklet'!J65+'17. sz.melléklet'!J82+'17. sz.melléklet'!J100)</f>
        <v>26841.416666666668</v>
      </c>
      <c r="K22" s="327">
        <f>SUM('17. sz.melléklet'!K22+'17. sz.melléklet'!K46+'17. sz.melléklet'!K65+'17. sz.melléklet'!K82+'17. sz.melléklet'!K100)</f>
        <v>46056.416666666664</v>
      </c>
      <c r="L22" s="327">
        <f>SUM('17. sz.melléklet'!L22+'17. sz.melléklet'!L46+'17. sz.melléklet'!L65+'17. sz.melléklet'!L82+'17. sz.melléklet'!L100)</f>
        <v>25841.416666666668</v>
      </c>
      <c r="M22" s="327">
        <f>SUM('17. sz.melléklet'!M22+'17. sz.melléklet'!M46+'17. sz.melléklet'!M65+'17. sz.melléklet'!M82+'17. sz.melléklet'!M100)</f>
        <v>25848.416666666668</v>
      </c>
      <c r="N22" s="327">
        <f>SUM('17. sz.melléklet'!N22+'17. sz.melléklet'!N46+'17. sz.melléklet'!N65+'17. sz.melléklet'!N82+'17. sz.melléklet'!N100)</f>
        <v>1195.4166666666667</v>
      </c>
      <c r="O22" s="238"/>
      <c r="P22" s="309"/>
    </row>
    <row r="23" spans="1:16" x14ac:dyDescent="0.2">
      <c r="A23" s="49" t="s">
        <v>241</v>
      </c>
      <c r="B23" s="326">
        <f>SUM('2.sz.melléklet'!F379)</f>
        <v>50501</v>
      </c>
      <c r="C23" s="327">
        <f>SUM('17. sz.melléklet'!C23)</f>
        <v>4208.416666666667</v>
      </c>
      <c r="D23" s="327">
        <f>SUM('17. sz.melléklet'!D23)</f>
        <v>4208.416666666667</v>
      </c>
      <c r="E23" s="327">
        <f>SUM('17. sz.melléklet'!E23)</f>
        <v>4208.416666666667</v>
      </c>
      <c r="F23" s="327">
        <f>SUM('17. sz.melléklet'!F23)</f>
        <v>4208.416666666667</v>
      </c>
      <c r="G23" s="327">
        <f>SUM('17. sz.melléklet'!G23)</f>
        <v>4208.416666666667</v>
      </c>
      <c r="H23" s="327">
        <f>SUM('17. sz.melléklet'!H23)</f>
        <v>4208.416666666667</v>
      </c>
      <c r="I23" s="327">
        <f>SUM('17. sz.melléklet'!I23)</f>
        <v>4208.416666666667</v>
      </c>
      <c r="J23" s="327">
        <f>SUM('17. sz.melléklet'!J23)</f>
        <v>4208.416666666667</v>
      </c>
      <c r="K23" s="327">
        <f>SUM('17. sz.melléklet'!K23)</f>
        <v>4208.416666666667</v>
      </c>
      <c r="L23" s="327">
        <f>SUM('17. sz.melléklet'!L23)</f>
        <v>4208.416666666667</v>
      </c>
      <c r="M23" s="327">
        <f>SUM('17. sz.melléklet'!M23)</f>
        <v>4208.416666666667</v>
      </c>
      <c r="N23" s="327">
        <f>SUM('17. sz.melléklet'!N23)</f>
        <v>4208.416666666667</v>
      </c>
      <c r="O23" s="238"/>
      <c r="P23" s="309"/>
    </row>
    <row r="24" spans="1:16" x14ac:dyDescent="0.2">
      <c r="A24" s="49" t="s">
        <v>602</v>
      </c>
      <c r="B24" s="326">
        <f>SUM('2.sz.melléklet'!J379)</f>
        <v>169055</v>
      </c>
      <c r="C24" s="327">
        <f>SUM('17. sz.melléklet'!C24)</f>
        <v>0</v>
      </c>
      <c r="D24" s="327">
        <f>SUM('17. sz.melléklet'!D24)</f>
        <v>12700</v>
      </c>
      <c r="E24" s="327">
        <f>SUM('17. sz.melléklet'!E24)</f>
        <v>0</v>
      </c>
      <c r="F24" s="327">
        <f>SUM('17. sz.melléklet'!F24)</f>
        <v>155000</v>
      </c>
      <c r="G24" s="327">
        <f>SUM('17. sz.melléklet'!G24)</f>
        <v>0</v>
      </c>
      <c r="H24" s="327">
        <f>SUM('17. sz.melléklet'!H24)</f>
        <v>0</v>
      </c>
      <c r="I24" s="327">
        <f>SUM('17. sz.melléklet'!I24)</f>
        <v>1355</v>
      </c>
      <c r="J24" s="327">
        <f>SUM('17. sz.melléklet'!J24)</f>
        <v>0</v>
      </c>
      <c r="K24" s="327">
        <f>SUM('17. sz.melléklet'!K24)</f>
        <v>0</v>
      </c>
      <c r="L24" s="327">
        <f>SUM('17. sz.melléklet'!L24)</f>
        <v>0</v>
      </c>
      <c r="M24" s="327">
        <f>SUM('17. sz.melléklet'!M24)</f>
        <v>0</v>
      </c>
      <c r="N24" s="327">
        <f>SUM('17. sz.melléklet'!N24)</f>
        <v>0</v>
      </c>
      <c r="O24" s="238"/>
      <c r="P24" s="309"/>
    </row>
    <row r="25" spans="1:16" x14ac:dyDescent="0.2">
      <c r="A25" s="49" t="s">
        <v>45</v>
      </c>
      <c r="B25" s="326">
        <f>SUM('2.sz.melléklet'!L379+'2.sz.melléklet'!K379)</f>
        <v>84851</v>
      </c>
      <c r="C25" s="327">
        <f>SUM('17. sz.melléklet'!C25)</f>
        <v>0</v>
      </c>
      <c r="D25" s="327">
        <f>SUM('17. sz.melléklet'!D25)</f>
        <v>0</v>
      </c>
      <c r="E25" s="327">
        <v>23700</v>
      </c>
      <c r="F25" s="327">
        <f>SUM('17. sz.melléklet'!F25)</f>
        <v>0</v>
      </c>
      <c r="G25" s="327">
        <f>SUM('17. sz.melléklet'!G25)</f>
        <v>0</v>
      </c>
      <c r="H25" s="327">
        <f>SUM('17. sz.melléklet'!H25)</f>
        <v>25342</v>
      </c>
      <c r="I25" s="327">
        <f>SUM('17. sz.melléklet'!I25)</f>
        <v>0</v>
      </c>
      <c r="J25" s="327">
        <f>SUM('17. sz.melléklet'!J25)</f>
        <v>0</v>
      </c>
      <c r="K25" s="327">
        <v>20887</v>
      </c>
      <c r="L25" s="327">
        <f>SUM('17. sz.melléklet'!L25)</f>
        <v>0</v>
      </c>
      <c r="M25" s="327">
        <f>SUM('17. sz.melléklet'!M25)</f>
        <v>0</v>
      </c>
      <c r="N25" s="327">
        <v>10192</v>
      </c>
      <c r="O25" s="238"/>
      <c r="P25" s="309"/>
    </row>
    <row r="26" spans="1:16" ht="13.5" thickBot="1" x14ac:dyDescent="0.25">
      <c r="A26" s="57" t="s">
        <v>130</v>
      </c>
      <c r="B26" s="338">
        <f>SUM('2.sz.melléklet'!M379)</f>
        <v>3424</v>
      </c>
      <c r="C26" s="339">
        <v>3424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238"/>
      <c r="P26" s="309"/>
    </row>
    <row r="27" spans="1:16" ht="13.5" thickBot="1" x14ac:dyDescent="0.25">
      <c r="A27" s="55" t="s">
        <v>46</v>
      </c>
      <c r="B27" s="340">
        <f t="shared" ref="B27:N27" si="1">SUM(B20:B26)</f>
        <v>1497536</v>
      </c>
      <c r="C27" s="341">
        <f t="shared" si="1"/>
        <v>64004.75</v>
      </c>
      <c r="D27" s="341">
        <f t="shared" si="1"/>
        <v>74085.25</v>
      </c>
      <c r="E27" s="341">
        <f t="shared" si="1"/>
        <v>89880.333333333343</v>
      </c>
      <c r="F27" s="341">
        <f t="shared" si="1"/>
        <v>334910.33333333337</v>
      </c>
      <c r="G27" s="341">
        <f t="shared" si="1"/>
        <v>80280.333333333343</v>
      </c>
      <c r="H27" s="341">
        <f t="shared" si="1"/>
        <v>140287.33333333334</v>
      </c>
      <c r="I27" s="341">
        <f t="shared" si="1"/>
        <v>95905.333333333343</v>
      </c>
      <c r="J27" s="341">
        <f t="shared" si="1"/>
        <v>87830.333333333343</v>
      </c>
      <c r="K27" s="341">
        <f t="shared" si="1"/>
        <v>210982.33333333331</v>
      </c>
      <c r="L27" s="341">
        <f t="shared" si="1"/>
        <v>120880.33333333334</v>
      </c>
      <c r="M27" s="341">
        <f t="shared" si="1"/>
        <v>120887.33333333334</v>
      </c>
      <c r="N27" s="340">
        <f t="shared" si="1"/>
        <v>69644.833333333328</v>
      </c>
      <c r="O27" s="238"/>
      <c r="P27" s="309"/>
    </row>
    <row r="28" spans="1:16" ht="13.5" thickBot="1" x14ac:dyDescent="0.25">
      <c r="A28" s="56"/>
      <c r="B28" s="342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2"/>
      <c r="O28" s="238"/>
      <c r="P28" s="309"/>
    </row>
    <row r="29" spans="1:16" ht="13.5" thickBot="1" x14ac:dyDescent="0.25">
      <c r="A29" s="55" t="s">
        <v>47</v>
      </c>
      <c r="B29" s="344">
        <f>B27-B16</f>
        <v>0</v>
      </c>
      <c r="C29" s="345">
        <f>C16-C27</f>
        <v>-790.58333333333576</v>
      </c>
      <c r="D29" s="345">
        <f t="shared" ref="D29:N29" si="2">D16-D27</f>
        <v>-886.08333333334303</v>
      </c>
      <c r="E29" s="345">
        <f t="shared" si="2"/>
        <v>-665.50000000001455</v>
      </c>
      <c r="F29" s="345">
        <f t="shared" si="2"/>
        <v>304.49999999994179</v>
      </c>
      <c r="G29" s="345">
        <f t="shared" si="2"/>
        <v>-3985.5000000000146</v>
      </c>
      <c r="H29" s="345">
        <f t="shared" si="2"/>
        <v>-2072.5</v>
      </c>
      <c r="I29" s="345">
        <f t="shared" si="2"/>
        <v>408.83333333332848</v>
      </c>
      <c r="J29" s="345">
        <f t="shared" si="2"/>
        <v>-2151.4166666666715</v>
      </c>
      <c r="K29" s="345">
        <f t="shared" si="2"/>
        <v>7231.833333333343</v>
      </c>
      <c r="L29" s="345">
        <f t="shared" si="2"/>
        <v>141333.83333333334</v>
      </c>
      <c r="M29" s="345">
        <f t="shared" si="2"/>
        <v>-97593.166666666686</v>
      </c>
      <c r="N29" s="344">
        <f t="shared" si="2"/>
        <v>-41134.666666666664</v>
      </c>
      <c r="O29" s="238"/>
      <c r="P29" s="309"/>
    </row>
    <row r="30" spans="1:16" x14ac:dyDescent="0.2">
      <c r="A30" s="169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98"/>
      <c r="O30" s="238"/>
      <c r="P30" s="309"/>
    </row>
    <row r="31" spans="1:16" s="240" customFormat="1" x14ac:dyDescent="0.2">
      <c r="A31" s="239" t="s">
        <v>75</v>
      </c>
      <c r="B31" s="346"/>
      <c r="C31" s="346">
        <f>C16-C27</f>
        <v>-790.58333333333576</v>
      </c>
      <c r="D31" s="346">
        <f>C31+D16-D27</f>
        <v>-1676.6666666666861</v>
      </c>
      <c r="E31" s="346">
        <f t="shared" ref="E31:N31" si="3">D31+E16-E27</f>
        <v>-2342.1666666667006</v>
      </c>
      <c r="F31" s="346">
        <f t="shared" si="3"/>
        <v>-2037.6666666667443</v>
      </c>
      <c r="G31" s="346">
        <f t="shared" si="3"/>
        <v>-6023.1666666667588</v>
      </c>
      <c r="H31" s="346">
        <f t="shared" si="3"/>
        <v>-8095.6666666667734</v>
      </c>
      <c r="I31" s="346">
        <f t="shared" si="3"/>
        <v>-7686.8333333334449</v>
      </c>
      <c r="J31" s="346">
        <f t="shared" si="3"/>
        <v>-9838.2500000001164</v>
      </c>
      <c r="K31" s="346">
        <f t="shared" si="3"/>
        <v>-2606.4166666667734</v>
      </c>
      <c r="L31" s="346">
        <f t="shared" si="3"/>
        <v>138727.41666666657</v>
      </c>
      <c r="M31" s="346">
        <f t="shared" si="3"/>
        <v>41134.249999999884</v>
      </c>
      <c r="N31" s="346">
        <f t="shared" si="3"/>
        <v>-0.41666666678793263</v>
      </c>
      <c r="O31" s="238"/>
      <c r="P31" s="309"/>
    </row>
    <row r="32" spans="1:16" x14ac:dyDescent="0.2">
      <c r="A32" s="169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98"/>
      <c r="O32" s="238"/>
      <c r="P32" s="309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55"/>
  <sheetViews>
    <sheetView workbookViewId="0">
      <pane ySplit="1" topLeftCell="A31" activePane="bottomLeft" state="frozen"/>
      <selection pane="bottomLeft" sqref="A1:F50"/>
    </sheetView>
  </sheetViews>
  <sheetFormatPr defaultRowHeight="12.75" x14ac:dyDescent="0.2"/>
  <cols>
    <col min="1" max="1" width="1.140625" style="102" customWidth="1"/>
    <col min="2" max="2" width="43.28515625" style="102" customWidth="1"/>
    <col min="3" max="3" width="34.5703125" style="102" customWidth="1"/>
    <col min="4" max="5" width="0.85546875" style="102" customWidth="1"/>
    <col min="6" max="6" width="0.85546875" style="170" customWidth="1"/>
    <col min="7" max="7" width="10.85546875" style="102" customWidth="1"/>
    <col min="8" max="8" width="9.42578125" style="102" bestFit="1" customWidth="1"/>
    <col min="9" max="9" width="12.85546875" style="102" bestFit="1" customWidth="1"/>
    <col min="10" max="16384" width="9.140625" style="102"/>
  </cols>
  <sheetData>
    <row r="1" spans="1:9" ht="30" customHeight="1" thickBot="1" x14ac:dyDescent="0.3">
      <c r="A1" s="1929" t="s">
        <v>518</v>
      </c>
      <c r="B1" s="1930"/>
      <c r="C1" s="1930"/>
      <c r="D1" s="1930"/>
      <c r="E1" s="1930"/>
      <c r="F1" s="1931"/>
    </row>
    <row r="2" spans="1:9" ht="3" hidden="1" customHeight="1" x14ac:dyDescent="0.2"/>
    <row r="3" spans="1:9" ht="3" hidden="1" customHeight="1" x14ac:dyDescent="0.2"/>
    <row r="4" spans="1:9" ht="26.25" customHeight="1" thickBot="1" x14ac:dyDescent="0.25">
      <c r="C4" s="1644" t="s">
        <v>398</v>
      </c>
      <c r="D4" s="175" t="s">
        <v>399</v>
      </c>
      <c r="E4" s="1448"/>
      <c r="F4" s="1643"/>
    </row>
    <row r="5" spans="1:9" ht="13.5" thickBot="1" x14ac:dyDescent="0.25">
      <c r="A5" s="545" t="s">
        <v>329</v>
      </c>
      <c r="B5" s="546"/>
      <c r="C5" s="984">
        <f>SUM('5.a.sz. melléklet'!C125)</f>
        <v>60363</v>
      </c>
      <c r="D5" s="876">
        <f>SUM('5.a.sz. melléklet'!C126)</f>
        <v>0</v>
      </c>
      <c r="E5" s="1635">
        <f>SUM('5.a.sz. melléklet'!C127)</f>
        <v>0</v>
      </c>
      <c r="F5" s="1636">
        <f>SUM(D5)</f>
        <v>0</v>
      </c>
      <c r="G5" s="880"/>
    </row>
    <row r="6" spans="1:9" ht="13.5" customHeight="1" thickBot="1" x14ac:dyDescent="0.25">
      <c r="A6" s="241"/>
      <c r="B6" s="241"/>
      <c r="C6" s="241"/>
      <c r="D6" s="242"/>
      <c r="E6" s="858"/>
      <c r="F6" s="892"/>
      <c r="G6" s="880"/>
    </row>
    <row r="7" spans="1:9" x14ac:dyDescent="0.2">
      <c r="A7" s="547" t="s">
        <v>192</v>
      </c>
      <c r="B7" s="548"/>
      <c r="C7" s="1631">
        <f>SUM(C8:C12)</f>
        <v>548194</v>
      </c>
      <c r="D7" s="459"/>
      <c r="E7" s="1637"/>
      <c r="F7" s="892"/>
      <c r="G7" s="893"/>
      <c r="H7" s="171"/>
      <c r="I7" s="171"/>
    </row>
    <row r="8" spans="1:9" x14ac:dyDescent="0.2">
      <c r="A8" s="459"/>
      <c r="B8" s="460" t="s">
        <v>327</v>
      </c>
      <c r="C8" s="1632">
        <v>29320</v>
      </c>
      <c r="D8" s="1638">
        <v>33100</v>
      </c>
      <c r="E8" s="306">
        <v>17632</v>
      </c>
      <c r="F8" s="1639"/>
      <c r="G8" s="893"/>
      <c r="H8" s="171"/>
      <c r="I8" s="171"/>
    </row>
    <row r="9" spans="1:9" x14ac:dyDescent="0.2">
      <c r="A9" s="242"/>
      <c r="B9" s="933" t="s">
        <v>104</v>
      </c>
      <c r="C9" s="1633">
        <v>511582</v>
      </c>
      <c r="D9" s="242">
        <v>471800</v>
      </c>
      <c r="E9" s="858">
        <v>438945</v>
      </c>
      <c r="F9" s="1639"/>
      <c r="G9" s="893"/>
      <c r="H9" s="171"/>
      <c r="I9" s="171"/>
    </row>
    <row r="10" spans="1:9" x14ac:dyDescent="0.2">
      <c r="A10" s="242"/>
      <c r="B10" s="934" t="s">
        <v>138</v>
      </c>
      <c r="C10" s="985">
        <v>873</v>
      </c>
      <c r="D10" s="242">
        <v>800</v>
      </c>
      <c r="E10" s="858">
        <v>833</v>
      </c>
      <c r="F10" s="1639"/>
      <c r="G10" s="893"/>
      <c r="H10" s="171"/>
      <c r="I10" s="171"/>
    </row>
    <row r="11" spans="1:9" x14ac:dyDescent="0.2">
      <c r="A11" s="242"/>
      <c r="B11" s="935" t="s">
        <v>328</v>
      </c>
      <c r="C11" s="1634">
        <v>1757</v>
      </c>
      <c r="D11" s="242">
        <v>2800</v>
      </c>
      <c r="E11" s="858">
        <v>1658</v>
      </c>
      <c r="F11" s="1639"/>
      <c r="G11" s="893"/>
      <c r="H11" s="171"/>
      <c r="I11" s="171">
        <f>SUM(E8:E12)</f>
        <v>463835</v>
      </c>
    </row>
    <row r="12" spans="1:9" ht="13.5" thickBot="1" x14ac:dyDescent="0.25">
      <c r="A12" s="243"/>
      <c r="B12" s="936" t="s">
        <v>435</v>
      </c>
      <c r="C12" s="1255">
        <v>4662</v>
      </c>
      <c r="D12" s="242">
        <v>5400</v>
      </c>
      <c r="E12" s="858">
        <v>4767</v>
      </c>
      <c r="F12" s="1636">
        <f>SUM(C8:C12)</f>
        <v>548194</v>
      </c>
      <c r="G12" s="893">
        <f>SUM(C8:C12)</f>
        <v>548194</v>
      </c>
      <c r="H12" s="171"/>
      <c r="I12" s="171"/>
    </row>
    <row r="13" spans="1:9" ht="6" customHeight="1" thickBot="1" x14ac:dyDescent="0.25">
      <c r="A13" s="241"/>
      <c r="B13" s="241"/>
      <c r="C13" s="241"/>
      <c r="D13" s="1640"/>
      <c r="E13" s="1448"/>
      <c r="F13" s="1448"/>
      <c r="G13" s="893"/>
      <c r="H13" s="171"/>
      <c r="I13" s="171"/>
    </row>
    <row r="14" spans="1:9" x14ac:dyDescent="0.2">
      <c r="A14" s="244" t="s">
        <v>224</v>
      </c>
      <c r="B14" s="245"/>
      <c r="C14" s="1784">
        <f>SUM(C15:C21)</f>
        <v>113279</v>
      </c>
      <c r="D14" s="242"/>
      <c r="E14" s="858"/>
      <c r="F14" s="892"/>
      <c r="G14" s="893"/>
      <c r="H14" s="171"/>
      <c r="I14" s="171"/>
    </row>
    <row r="15" spans="1:9" x14ac:dyDescent="0.2">
      <c r="A15" s="242"/>
      <c r="B15" s="934" t="s">
        <v>223</v>
      </c>
      <c r="C15" s="985">
        <f>SUM('5.b.sz. melléklet'!D14)</f>
        <v>199</v>
      </c>
      <c r="D15" s="242">
        <f>SUM('5.b.sz. melléklet'!E14)</f>
        <v>318</v>
      </c>
      <c r="E15" s="858">
        <f>SUM('5.b.sz. melléklet'!F14)</f>
        <v>318</v>
      </c>
      <c r="F15" s="892"/>
      <c r="G15" s="893"/>
      <c r="H15" s="171"/>
      <c r="I15" s="171"/>
    </row>
    <row r="16" spans="1:9" x14ac:dyDescent="0.2">
      <c r="A16" s="242"/>
      <c r="B16" s="937" t="s">
        <v>225</v>
      </c>
      <c r="C16" s="986">
        <f>SUM('5.b.sz. melléklet'!D15+'5.b.sz. melléklet'!D16+'5.b.sz. melléklet'!D18+'5.b.sz. melléklet'!D21)</f>
        <v>84638</v>
      </c>
      <c r="D16" s="242">
        <f>SUM('5.b.sz. melléklet'!E15+'5.b.sz. melléklet'!E16+'5.b.sz. melléklet'!E18)</f>
        <v>86224</v>
      </c>
      <c r="E16" s="858">
        <f>SUM('5.b.sz. melléklet'!F15+'5.b.sz. melléklet'!F18+'5.b.sz. melléklet'!F20)</f>
        <v>61392</v>
      </c>
      <c r="F16" s="892"/>
      <c r="G16" s="893"/>
      <c r="H16" s="171"/>
      <c r="I16" s="171"/>
    </row>
    <row r="17" spans="1:9" x14ac:dyDescent="0.2">
      <c r="A17" s="242"/>
      <c r="B17" s="937" t="s">
        <v>226</v>
      </c>
      <c r="C17" s="986">
        <f>SUM('5.b.sz. melléklet'!D17)</f>
        <v>22393</v>
      </c>
      <c r="D17" s="242">
        <f>SUM('5.b.sz. melléklet'!E17+'5.b.sz. melléklet'!E20)</f>
        <v>25995</v>
      </c>
      <c r="E17" s="858">
        <f>SUM('5.b.sz. melléklet'!F16+'5.b.sz. melléklet'!F17)</f>
        <v>24738</v>
      </c>
      <c r="F17" s="892"/>
      <c r="G17" s="893"/>
      <c r="H17" s="171"/>
      <c r="I17" s="171"/>
    </row>
    <row r="18" spans="1:9" x14ac:dyDescent="0.2">
      <c r="A18" s="242"/>
      <c r="B18" s="937" t="s">
        <v>227</v>
      </c>
      <c r="C18" s="986">
        <f>SUM('5.b.sz. melléklet'!D19)</f>
        <v>6049</v>
      </c>
      <c r="D18" s="242">
        <f>SUM('5.b.sz. melléklet'!E19)</f>
        <v>6400</v>
      </c>
      <c r="E18" s="858">
        <f>SUM('5.b.sz. melléklet'!F19)</f>
        <v>4940</v>
      </c>
      <c r="F18" s="892"/>
      <c r="G18" s="893"/>
      <c r="H18" s="171"/>
      <c r="I18" s="171"/>
    </row>
    <row r="19" spans="1:9" x14ac:dyDescent="0.2">
      <c r="A19" s="859"/>
      <c r="B19" s="934" t="s">
        <v>228</v>
      </c>
      <c r="C19" s="985">
        <v>0</v>
      </c>
      <c r="D19" s="242">
        <f>SUM('5.b.sz. melléklet'!E24)</f>
        <v>1885</v>
      </c>
      <c r="E19" s="858">
        <f>SUM('5.b.sz. melléklet'!F24)</f>
        <v>1885</v>
      </c>
      <c r="F19" s="892"/>
      <c r="G19" s="893"/>
      <c r="H19" s="171"/>
      <c r="I19" s="171"/>
    </row>
    <row r="20" spans="1:9" x14ac:dyDescent="0.2">
      <c r="A20" s="858"/>
      <c r="B20" s="938" t="s">
        <v>417</v>
      </c>
      <c r="C20" s="626">
        <v>0</v>
      </c>
      <c r="D20" s="242">
        <v>0</v>
      </c>
      <c r="E20" s="858">
        <f>SUM('5.b.sz. melléklet'!F27)</f>
        <v>366</v>
      </c>
      <c r="F20" s="892"/>
      <c r="G20" s="893"/>
      <c r="H20" s="171"/>
      <c r="I20" s="171"/>
    </row>
    <row r="21" spans="1:9" ht="13.5" thickBot="1" x14ac:dyDescent="0.25">
      <c r="A21" s="858"/>
      <c r="B21" s="860" t="s">
        <v>418</v>
      </c>
      <c r="C21" s="891">
        <v>0</v>
      </c>
      <c r="D21" s="242">
        <v>0</v>
      </c>
      <c r="E21" s="858"/>
      <c r="F21" s="892">
        <f>SUM(E15:E21)</f>
        <v>93639</v>
      </c>
      <c r="G21" s="893">
        <f>SUM(C15:C21)</f>
        <v>113279</v>
      </c>
      <c r="H21" s="171"/>
      <c r="I21" s="171">
        <f>SUM(E15:E21)</f>
        <v>93639</v>
      </c>
    </row>
    <row r="22" spans="1:9" ht="6.75" customHeight="1" thickBot="1" x14ac:dyDescent="0.25">
      <c r="A22" s="241"/>
      <c r="B22" s="861"/>
      <c r="C22" s="241"/>
      <c r="D22" s="242"/>
      <c r="E22" s="858"/>
      <c r="F22" s="892"/>
      <c r="G22" s="893"/>
      <c r="H22" s="171"/>
      <c r="I22" s="171"/>
    </row>
    <row r="23" spans="1:9" ht="13.5" thickBot="1" x14ac:dyDescent="0.25">
      <c r="A23" s="244" t="s">
        <v>107</v>
      </c>
      <c r="B23" s="245"/>
      <c r="C23" s="1784">
        <f>SUM(C24:C30)</f>
        <v>259222</v>
      </c>
      <c r="D23" s="876"/>
      <c r="E23" s="858"/>
      <c r="F23" s="892"/>
      <c r="G23" s="893"/>
      <c r="H23" s="171"/>
      <c r="I23" s="171"/>
    </row>
    <row r="24" spans="1:9" x14ac:dyDescent="0.2">
      <c r="A24" s="246"/>
      <c r="B24" s="1779" t="s">
        <v>169</v>
      </c>
      <c r="C24" s="1780">
        <f>SUM('5.a.sz. melléklet'!F63+'5.a.sz. melléklet'!F67)</f>
        <v>8880</v>
      </c>
      <c r="D24" s="876">
        <v>9455</v>
      </c>
      <c r="E24" s="858">
        <f>SUM('5.a.sz. melléklet'!F65)</f>
        <v>0</v>
      </c>
      <c r="F24" s="892"/>
      <c r="G24" s="893"/>
      <c r="H24" s="171"/>
      <c r="I24" s="171"/>
    </row>
    <row r="25" spans="1:9" x14ac:dyDescent="0.2">
      <c r="A25" s="246"/>
      <c r="B25" s="1781" t="s">
        <v>108</v>
      </c>
      <c r="C25" s="1782">
        <v>4320</v>
      </c>
      <c r="D25" s="876">
        <v>4320</v>
      </c>
      <c r="E25" s="858">
        <v>3260</v>
      </c>
      <c r="F25" s="892"/>
      <c r="G25" s="893"/>
      <c r="H25" s="171"/>
      <c r="I25" s="171"/>
    </row>
    <row r="26" spans="1:9" x14ac:dyDescent="0.2">
      <c r="A26" s="246"/>
      <c r="B26" s="1781" t="s">
        <v>203</v>
      </c>
      <c r="C26" s="1782">
        <f>SUM('5.a.sz. melléklet'!F35-4320)</f>
        <v>3000</v>
      </c>
      <c r="D26" s="876">
        <v>3000</v>
      </c>
      <c r="E26" s="858">
        <v>2080</v>
      </c>
      <c r="F26" s="892"/>
      <c r="G26" s="893"/>
      <c r="H26" s="171"/>
      <c r="I26" s="171"/>
    </row>
    <row r="27" spans="1:9" ht="39.75" customHeight="1" thickBot="1" x14ac:dyDescent="0.25">
      <c r="A27" s="243"/>
      <c r="B27" s="1132" t="s">
        <v>436</v>
      </c>
      <c r="C27" s="1782">
        <v>17</v>
      </c>
      <c r="D27" s="242">
        <v>17</v>
      </c>
      <c r="E27" s="858"/>
      <c r="F27" s="892"/>
      <c r="G27" s="1783"/>
      <c r="H27" s="171"/>
      <c r="I27" s="171"/>
    </row>
    <row r="28" spans="1:9" s="904" customFormat="1" ht="17.25" customHeight="1" x14ac:dyDescent="0.2">
      <c r="A28" s="858"/>
      <c r="B28" s="1133" t="s">
        <v>596</v>
      </c>
      <c r="C28" s="627">
        <v>1905</v>
      </c>
      <c r="D28" s="242"/>
      <c r="E28" s="858">
        <v>81</v>
      </c>
      <c r="F28" s="892">
        <f>SUM(C24:C29)</f>
        <v>19222</v>
      </c>
      <c r="G28" s="893"/>
      <c r="H28" s="171"/>
      <c r="I28" s="171"/>
    </row>
    <row r="29" spans="1:9" s="908" customFormat="1" ht="18" customHeight="1" x14ac:dyDescent="0.2">
      <c r="A29" s="858"/>
      <c r="B29" s="1133" t="s">
        <v>597</v>
      </c>
      <c r="C29" s="627">
        <v>1100</v>
      </c>
      <c r="D29" s="242">
        <f>SUM('5.a.sz. melléklet'!F110)</f>
        <v>0</v>
      </c>
      <c r="E29" s="858">
        <v>1392</v>
      </c>
      <c r="F29" s="892"/>
      <c r="G29" s="893"/>
      <c r="H29" s="171"/>
      <c r="I29" s="171"/>
    </row>
    <row r="30" spans="1:9" s="1150" customFormat="1" ht="18" customHeight="1" x14ac:dyDescent="0.2">
      <c r="A30" s="858"/>
      <c r="B30" s="1133" t="s">
        <v>599</v>
      </c>
      <c r="C30" s="627">
        <v>240000</v>
      </c>
      <c r="D30" s="242"/>
      <c r="E30" s="858">
        <v>71</v>
      </c>
      <c r="F30" s="892"/>
      <c r="G30" s="893"/>
      <c r="H30" s="171"/>
      <c r="I30" s="171"/>
    </row>
    <row r="31" spans="1:9" s="1150" customFormat="1" ht="18" customHeight="1" x14ac:dyDescent="0.2">
      <c r="A31" s="858"/>
      <c r="B31" s="1133"/>
      <c r="C31" s="627"/>
      <c r="D31" s="242"/>
      <c r="E31" s="858">
        <f>SUM('5.a.sz. melléklet'!G45)</f>
        <v>0</v>
      </c>
      <c r="F31" s="892"/>
      <c r="G31" s="893">
        <f>SUM(C24:C32)</f>
        <v>259222</v>
      </c>
      <c r="H31" s="171"/>
      <c r="I31" s="171"/>
    </row>
    <row r="32" spans="1:9" ht="13.5" thickBot="1" x14ac:dyDescent="0.25">
      <c r="A32" s="241"/>
      <c r="B32" s="1297"/>
      <c r="C32" s="628"/>
      <c r="D32" s="242">
        <f>SUM('5.a.sz. melléklet'!F32)</f>
        <v>0</v>
      </c>
      <c r="E32" s="858">
        <f>SUM('5.a.sz. melléklet'!F33)</f>
        <v>0</v>
      </c>
      <c r="F32" s="892">
        <f>SUM(D24:D32)</f>
        <v>16792</v>
      </c>
      <c r="G32" s="893"/>
      <c r="H32" s="171"/>
      <c r="I32" s="171"/>
    </row>
    <row r="33" spans="1:9" ht="13.5" thickBot="1" x14ac:dyDescent="0.25">
      <c r="A33" s="248" t="s">
        <v>102</v>
      </c>
      <c r="B33" s="249"/>
      <c r="C33" s="249"/>
      <c r="D33" s="242"/>
      <c r="E33" s="858"/>
      <c r="F33" s="892"/>
      <c r="G33" s="893"/>
      <c r="H33" s="171"/>
      <c r="I33" s="171"/>
    </row>
    <row r="34" spans="1:9" ht="13.5" thickBot="1" x14ac:dyDescent="0.25">
      <c r="A34" s="241"/>
      <c r="B34" s="241"/>
      <c r="C34" s="241"/>
      <c r="D34" s="242"/>
      <c r="E34" s="858"/>
      <c r="F34" s="892"/>
      <c r="G34" s="893"/>
      <c r="H34" s="171"/>
      <c r="I34" s="171"/>
    </row>
    <row r="35" spans="1:9" x14ac:dyDescent="0.2">
      <c r="A35" s="244" t="s">
        <v>103</v>
      </c>
      <c r="B35" s="245"/>
      <c r="C35" s="1784">
        <f>SUM(C36:C37)</f>
        <v>0</v>
      </c>
      <c r="D35" s="242"/>
      <c r="E35" s="858"/>
      <c r="F35" s="892"/>
      <c r="G35" s="893"/>
      <c r="H35" s="171"/>
      <c r="I35" s="171"/>
    </row>
    <row r="36" spans="1:9" x14ac:dyDescent="0.2">
      <c r="A36" s="246"/>
      <c r="B36" s="1785"/>
      <c r="C36" s="985"/>
      <c r="D36" s="876">
        <v>12918</v>
      </c>
      <c r="E36" s="858">
        <v>10557</v>
      </c>
      <c r="F36" s="892"/>
      <c r="G36" s="893"/>
      <c r="H36" s="171"/>
      <c r="I36" s="171"/>
    </row>
    <row r="37" spans="1:9" ht="3" customHeight="1" x14ac:dyDescent="0.2">
      <c r="A37" s="246"/>
      <c r="B37" s="939"/>
      <c r="C37" s="985"/>
      <c r="D37" s="876">
        <v>5600</v>
      </c>
      <c r="E37" s="858">
        <v>5600</v>
      </c>
      <c r="F37" s="892">
        <f>SUM(D36:D37)</f>
        <v>18518</v>
      </c>
      <c r="G37" s="893"/>
      <c r="H37" s="171"/>
      <c r="I37" s="171"/>
    </row>
    <row r="38" spans="1:9" ht="3" customHeight="1" x14ac:dyDescent="0.2">
      <c r="A38" s="246"/>
      <c r="B38" s="250"/>
      <c r="C38" s="627"/>
      <c r="D38" s="242"/>
      <c r="E38" s="858"/>
      <c r="F38" s="892"/>
      <c r="G38" s="893"/>
      <c r="H38" s="171"/>
      <c r="I38" s="171"/>
    </row>
    <row r="39" spans="1:9" ht="13.5" hidden="1" thickBot="1" x14ac:dyDescent="0.25">
      <c r="A39" s="251"/>
      <c r="B39" s="247"/>
      <c r="C39" s="628"/>
      <c r="D39" s="242"/>
      <c r="E39" s="858"/>
      <c r="F39" s="892"/>
      <c r="G39" s="893"/>
      <c r="H39" s="171"/>
      <c r="I39" s="171"/>
    </row>
    <row r="40" spans="1:9" ht="13.5" thickBot="1" x14ac:dyDescent="0.25">
      <c r="A40" s="241"/>
      <c r="B40" s="241"/>
      <c r="C40" s="241"/>
      <c r="D40" s="242"/>
      <c r="E40" s="858"/>
      <c r="F40" s="892"/>
      <c r="G40" s="893"/>
      <c r="H40" s="171"/>
      <c r="I40" s="171"/>
    </row>
    <row r="41" spans="1:9" x14ac:dyDescent="0.2">
      <c r="A41" s="244" t="s">
        <v>105</v>
      </c>
      <c r="B41" s="245"/>
      <c r="C41" s="1784">
        <f>SUM(C42:C44)</f>
        <v>30430</v>
      </c>
      <c r="D41" s="242"/>
      <c r="E41" s="858"/>
      <c r="F41" s="892"/>
      <c r="G41" s="893"/>
      <c r="H41" s="171"/>
      <c r="I41" s="171"/>
    </row>
    <row r="42" spans="1:9" x14ac:dyDescent="0.2">
      <c r="A42" s="246"/>
      <c r="B42" s="939" t="s">
        <v>437</v>
      </c>
      <c r="C42" s="985">
        <v>9000</v>
      </c>
      <c r="D42" s="876">
        <v>9000</v>
      </c>
      <c r="E42" s="858">
        <v>2956</v>
      </c>
      <c r="F42" s="892"/>
      <c r="G42" s="893"/>
      <c r="H42" s="171"/>
      <c r="I42" s="171"/>
    </row>
    <row r="43" spans="1:9" ht="23.25" customHeight="1" x14ac:dyDescent="0.2">
      <c r="A43" s="246"/>
      <c r="B43" s="939" t="s">
        <v>438</v>
      </c>
      <c r="C43" s="986">
        <v>10000</v>
      </c>
      <c r="D43" s="876">
        <v>10000</v>
      </c>
      <c r="E43" s="858"/>
      <c r="F43" s="892"/>
      <c r="G43" s="893"/>
      <c r="H43" s="171"/>
      <c r="I43" s="171"/>
    </row>
    <row r="44" spans="1:9" ht="22.5" customHeight="1" thickBot="1" x14ac:dyDescent="0.25">
      <c r="A44" s="1789"/>
      <c r="B44" s="1810" t="s">
        <v>604</v>
      </c>
      <c r="C44" s="1809">
        <v>11430</v>
      </c>
      <c r="D44" s="876">
        <v>5000</v>
      </c>
      <c r="E44" s="858"/>
      <c r="F44" s="892"/>
      <c r="G44" s="893"/>
      <c r="H44" s="171"/>
      <c r="I44" s="171"/>
    </row>
    <row r="45" spans="1:9" s="916" customFormat="1" ht="13.5" thickBot="1" x14ac:dyDescent="0.25">
      <c r="A45" s="1791" t="s">
        <v>333</v>
      </c>
      <c r="B45" s="1790"/>
      <c r="C45" s="1792">
        <f>SUM(C46:C48)</f>
        <v>450000</v>
      </c>
      <c r="D45" s="876"/>
      <c r="E45" s="858"/>
      <c r="F45" s="892"/>
      <c r="G45" s="893"/>
      <c r="H45" s="171"/>
      <c r="I45" s="171"/>
    </row>
    <row r="46" spans="1:9" s="916" customFormat="1" x14ac:dyDescent="0.2">
      <c r="A46" s="1789"/>
      <c r="B46" s="1786" t="s">
        <v>439</v>
      </c>
      <c r="C46" s="1256">
        <v>100000</v>
      </c>
      <c r="D46" s="876">
        <v>100000</v>
      </c>
      <c r="E46" s="858">
        <f>SUM('5.a.sz. melléklet'!K85)</f>
        <v>0</v>
      </c>
      <c r="F46" s="892"/>
      <c r="G46" s="893"/>
      <c r="H46" s="171"/>
      <c r="I46" s="171"/>
    </row>
    <row r="47" spans="1:9" x14ac:dyDescent="0.2">
      <c r="A47" s="1789"/>
      <c r="B47" s="1787" t="s">
        <v>440</v>
      </c>
      <c r="C47" s="627">
        <v>350000</v>
      </c>
      <c r="D47" s="242">
        <f>C47+10534</f>
        <v>360534</v>
      </c>
      <c r="E47" s="858">
        <f>SUM('5.a.sz. melléklet'!J84)</f>
        <v>0</v>
      </c>
      <c r="F47" s="892"/>
      <c r="G47" s="893"/>
      <c r="H47" s="171"/>
      <c r="I47" s="171"/>
    </row>
    <row r="48" spans="1:9" s="983" customFormat="1" ht="13.5" thickBot="1" x14ac:dyDescent="0.25">
      <c r="A48" s="1789"/>
      <c r="B48" s="1788" t="s">
        <v>467</v>
      </c>
      <c r="C48" s="628"/>
      <c r="D48" s="242">
        <f>SUM('5.a.sz. melléklet'!K12)</f>
        <v>0</v>
      </c>
      <c r="E48" s="858">
        <f>SUM('5.a.sz. melléklet'!K12)</f>
        <v>0</v>
      </c>
      <c r="F48" s="892">
        <f>SUM(D46:D48)</f>
        <v>460534</v>
      </c>
      <c r="G48" s="893"/>
      <c r="H48" s="171"/>
      <c r="I48" s="171"/>
    </row>
    <row r="49" spans="1:9" ht="13.5" thickBot="1" x14ac:dyDescent="0.25">
      <c r="A49" s="241"/>
      <c r="B49" s="241"/>
      <c r="C49" s="241"/>
      <c r="D49" s="242"/>
      <c r="E49" s="858"/>
      <c r="F49" s="892"/>
      <c r="G49" s="893"/>
      <c r="H49" s="171"/>
      <c r="I49" s="171"/>
    </row>
    <row r="50" spans="1:9" ht="16.5" thickBot="1" x14ac:dyDescent="0.3">
      <c r="A50" s="252" t="s">
        <v>106</v>
      </c>
      <c r="B50" s="253"/>
      <c r="C50" s="253">
        <f>SUM(C45+C41+C35+C23+C14+C7+C5)</f>
        <v>1461488</v>
      </c>
      <c r="D50" s="1641">
        <f>SUM(D5:D49)</f>
        <v>1154566</v>
      </c>
      <c r="E50" s="1642">
        <f>SUM(E5:E48)</f>
        <v>583471</v>
      </c>
      <c r="F50" s="1642"/>
      <c r="G50" s="893"/>
      <c r="H50" s="171"/>
      <c r="I50" s="171"/>
    </row>
    <row r="51" spans="1:9" ht="19.5" customHeight="1" x14ac:dyDescent="0.25">
      <c r="C51" s="171"/>
      <c r="D51" s="171"/>
      <c r="E51" s="1414">
        <f>SUM(E50/D50)</f>
        <v>0.50535958966399497</v>
      </c>
      <c r="F51" s="172"/>
      <c r="G51" s="171"/>
      <c r="H51" s="171"/>
      <c r="I51" s="171"/>
    </row>
    <row r="52" spans="1:9" x14ac:dyDescent="0.2">
      <c r="C52" s="171"/>
      <c r="D52" s="171"/>
      <c r="E52" s="171"/>
      <c r="F52" s="172"/>
      <c r="G52" s="171"/>
      <c r="H52" s="171"/>
      <c r="I52" s="171"/>
    </row>
    <row r="53" spans="1:9" x14ac:dyDescent="0.2">
      <c r="C53" s="171"/>
      <c r="D53" s="171"/>
      <c r="E53" s="171"/>
      <c r="F53" s="172"/>
      <c r="G53" s="171"/>
      <c r="H53" s="171"/>
      <c r="I53" s="171"/>
    </row>
    <row r="54" spans="1:9" x14ac:dyDescent="0.2">
      <c r="C54" s="171"/>
      <c r="D54" s="171"/>
      <c r="E54" s="171"/>
      <c r="F54" s="172"/>
      <c r="G54" s="171"/>
      <c r="H54" s="171"/>
      <c r="I54" s="171"/>
    </row>
    <row r="55" spans="1:9" x14ac:dyDescent="0.2">
      <c r="C55" s="171"/>
      <c r="D55" s="171"/>
      <c r="E55" s="171"/>
      <c r="F55" s="172"/>
      <c r="G55" s="171"/>
      <c r="H55" s="171"/>
      <c r="I55" s="171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BA186"/>
  <sheetViews>
    <sheetView topLeftCell="A99" workbookViewId="0">
      <selection sqref="A1:L125"/>
    </sheetView>
  </sheetViews>
  <sheetFormatPr defaultRowHeight="12.75" x14ac:dyDescent="0.2"/>
  <cols>
    <col min="1" max="1" width="8.140625" style="436" customWidth="1"/>
    <col min="2" max="2" width="25.7109375" customWidth="1"/>
    <col min="3" max="3" width="11" customWidth="1"/>
    <col min="4" max="4" width="12.42578125" customWidth="1"/>
    <col min="5" max="5" width="12.140625" customWidth="1"/>
    <col min="6" max="6" width="10.7109375" customWidth="1"/>
    <col min="7" max="7" width="11.85546875" customWidth="1"/>
    <col min="8" max="8" width="11" customWidth="1"/>
    <col min="9" max="9" width="11.140625" customWidth="1"/>
    <col min="10" max="10" width="11.42578125" customWidth="1"/>
    <col min="11" max="11" width="10.85546875" customWidth="1"/>
    <col min="12" max="12" width="12.7109375" customWidth="1"/>
    <col min="13" max="13" width="5.42578125" style="169" customWidth="1"/>
    <col min="14" max="14" width="10.85546875" style="4" customWidth="1"/>
    <col min="15" max="53" width="9.140625" style="4"/>
  </cols>
  <sheetData>
    <row r="1" spans="1:53" ht="16.5" thickBot="1" x14ac:dyDescent="0.3">
      <c r="A1" s="1932" t="s">
        <v>519</v>
      </c>
      <c r="B1" s="1933"/>
      <c r="C1" s="1933"/>
      <c r="D1" s="1933"/>
      <c r="E1" s="1933"/>
      <c r="F1" s="1933"/>
      <c r="G1" s="1933"/>
      <c r="H1" s="1933"/>
      <c r="I1" s="1933"/>
      <c r="J1" s="1933"/>
      <c r="K1" s="1933"/>
      <c r="L1" s="1934"/>
    </row>
    <row r="2" spans="1:53" ht="3" customHeight="1" x14ac:dyDescent="0.25">
      <c r="A2" s="430"/>
      <c r="B2" s="37"/>
      <c r="C2" s="4"/>
      <c r="D2" s="4"/>
      <c r="E2" s="4"/>
      <c r="F2" s="4"/>
      <c r="G2" s="4"/>
      <c r="H2" s="4"/>
      <c r="I2" s="4"/>
      <c r="J2" s="4"/>
      <c r="K2" s="4"/>
      <c r="L2" s="4"/>
    </row>
    <row r="3" spans="1:53" ht="3" customHeight="1" x14ac:dyDescent="0.2">
      <c r="A3" s="43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3" ht="3" customHeight="1" thickBot="1" x14ac:dyDescent="0.25">
      <c r="A4" s="433"/>
      <c r="B4" s="68"/>
      <c r="C4" s="4"/>
      <c r="D4" s="4"/>
      <c r="E4" s="4"/>
      <c r="F4" s="4"/>
      <c r="G4" s="4"/>
      <c r="H4" s="4"/>
      <c r="I4" s="4"/>
      <c r="J4" s="4"/>
      <c r="K4" s="4"/>
      <c r="L4" s="4"/>
    </row>
    <row r="5" spans="1:53" ht="57.75" customHeight="1" thickBot="1" x14ac:dyDescent="0.25">
      <c r="A5" s="1369" t="s">
        <v>229</v>
      </c>
      <c r="B5" s="1370" t="s">
        <v>230</v>
      </c>
      <c r="C5" s="1371" t="s">
        <v>231</v>
      </c>
      <c r="D5" s="1371" t="s">
        <v>232</v>
      </c>
      <c r="E5" s="1371" t="s">
        <v>135</v>
      </c>
      <c r="F5" s="1371" t="s">
        <v>234</v>
      </c>
      <c r="G5" s="1371" t="s">
        <v>235</v>
      </c>
      <c r="H5" s="1371" t="s">
        <v>136</v>
      </c>
      <c r="I5" s="1371" t="s">
        <v>233</v>
      </c>
      <c r="J5" s="1371" t="s">
        <v>432</v>
      </c>
      <c r="K5" s="1372" t="s">
        <v>137</v>
      </c>
      <c r="L5" s="1667" t="s">
        <v>54</v>
      </c>
    </row>
    <row r="6" spans="1:53" ht="15" customHeight="1" x14ac:dyDescent="0.2">
      <c r="A6" s="1373" t="s">
        <v>245</v>
      </c>
      <c r="B6" s="1374" t="s">
        <v>116</v>
      </c>
      <c r="C6" s="879"/>
      <c r="D6" s="879"/>
      <c r="E6" s="879"/>
      <c r="F6" s="879"/>
      <c r="G6" s="879"/>
      <c r="H6" s="879"/>
      <c r="I6" s="879"/>
      <c r="J6" s="879"/>
      <c r="K6" s="1289"/>
      <c r="L6" s="1668"/>
    </row>
    <row r="7" spans="1:53" s="369" customFormat="1" ht="15" customHeight="1" thickBot="1" x14ac:dyDescent="0.25">
      <c r="A7" s="1659"/>
      <c r="B7" s="630" t="s">
        <v>392</v>
      </c>
      <c r="C7" s="631"/>
      <c r="D7" s="631">
        <v>543532</v>
      </c>
      <c r="E7" s="631"/>
      <c r="F7" s="631"/>
      <c r="G7" s="631"/>
      <c r="H7" s="631"/>
      <c r="I7" s="631"/>
      <c r="J7" s="631"/>
      <c r="K7" s="1291"/>
      <c r="L7" s="1669">
        <f>SUM(C7:K7)</f>
        <v>543532</v>
      </c>
      <c r="M7" s="16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s="1646" customFormat="1" ht="0.2" customHeight="1" x14ac:dyDescent="0.2">
      <c r="A8" s="1373"/>
      <c r="B8" s="1374" t="s">
        <v>393</v>
      </c>
      <c r="C8" s="879"/>
      <c r="D8" s="879"/>
      <c r="E8" s="879"/>
      <c r="F8" s="879"/>
      <c r="G8" s="879"/>
      <c r="H8" s="879"/>
      <c r="I8" s="879"/>
      <c r="J8" s="879"/>
      <c r="K8" s="1289"/>
      <c r="L8" s="1670">
        <f>SUM(C8:K8)</f>
        <v>0</v>
      </c>
      <c r="M8" s="16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4" customFormat="1" ht="0.2" customHeight="1" x14ac:dyDescent="0.2">
      <c r="A9" s="448"/>
      <c r="B9" s="173" t="s">
        <v>391</v>
      </c>
      <c r="C9" s="255"/>
      <c r="D9" s="255"/>
      <c r="E9" s="255"/>
      <c r="F9" s="255"/>
      <c r="G9" s="255"/>
      <c r="H9" s="255"/>
      <c r="I9" s="255"/>
      <c r="J9" s="255"/>
      <c r="K9" s="1290"/>
      <c r="L9" s="1668">
        <f>SUM(C9:K9)</f>
        <v>0</v>
      </c>
      <c r="M9" s="169"/>
    </row>
    <row r="10" spans="1:53" ht="15" customHeight="1" x14ac:dyDescent="0.2">
      <c r="A10" s="671" t="s">
        <v>244</v>
      </c>
      <c r="B10" s="457" t="s">
        <v>3</v>
      </c>
      <c r="C10" s="255"/>
      <c r="D10" s="255"/>
      <c r="E10" s="255"/>
      <c r="F10" s="255"/>
      <c r="G10" s="255"/>
      <c r="H10" s="255"/>
      <c r="I10" s="255"/>
      <c r="J10" s="255"/>
      <c r="K10" s="1290"/>
      <c r="L10" s="1671"/>
    </row>
    <row r="11" spans="1:53" s="369" customFormat="1" ht="15" customHeight="1" thickBot="1" x14ac:dyDescent="0.25">
      <c r="A11" s="1660"/>
      <c r="B11" s="686" t="s">
        <v>392</v>
      </c>
      <c r="C11" s="631">
        <v>5605</v>
      </c>
      <c r="D11" s="631"/>
      <c r="E11" s="631"/>
      <c r="F11" s="631"/>
      <c r="G11" s="631"/>
      <c r="H11" s="631"/>
      <c r="I11" s="631"/>
      <c r="J11" s="631"/>
      <c r="K11" s="1291"/>
      <c r="L11" s="1669">
        <f>SUM(C11:K11)</f>
        <v>5605</v>
      </c>
      <c r="M11" s="16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s="1646" customFormat="1" ht="0.2" customHeight="1" x14ac:dyDescent="0.2">
      <c r="A12" s="1647"/>
      <c r="B12" s="1648" t="s">
        <v>393</v>
      </c>
      <c r="C12" s="879"/>
      <c r="D12" s="879"/>
      <c r="E12" s="879"/>
      <c r="F12" s="879"/>
      <c r="G12" s="879"/>
      <c r="H12" s="879"/>
      <c r="I12" s="879"/>
      <c r="J12" s="879"/>
      <c r="K12" s="1289"/>
      <c r="L12" s="1670">
        <f>SUM(C12:K12)</f>
        <v>0</v>
      </c>
      <c r="M12" s="16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s="4" customFormat="1" ht="0.2" customHeight="1" x14ac:dyDescent="0.2">
      <c r="A13" s="448"/>
      <c r="B13" s="173" t="s">
        <v>391</v>
      </c>
      <c r="C13" s="255"/>
      <c r="D13" s="255"/>
      <c r="E13" s="255"/>
      <c r="F13" s="255"/>
      <c r="G13" s="255"/>
      <c r="H13" s="255"/>
      <c r="I13" s="255"/>
      <c r="J13" s="255"/>
      <c r="K13" s="1290"/>
      <c r="L13" s="1668">
        <f>SUM(C13:K13)</f>
        <v>0</v>
      </c>
      <c r="M13" s="169"/>
    </row>
    <row r="14" spans="1:53" ht="21" customHeight="1" x14ac:dyDescent="0.2">
      <c r="A14" s="448" t="s">
        <v>256</v>
      </c>
      <c r="B14" s="173" t="s">
        <v>304</v>
      </c>
      <c r="C14" s="255"/>
      <c r="D14" s="255"/>
      <c r="E14" s="255"/>
      <c r="F14" s="255"/>
      <c r="G14" s="255"/>
      <c r="H14" s="255"/>
      <c r="I14" s="255"/>
      <c r="J14" s="255"/>
      <c r="K14" s="1290"/>
      <c r="L14" s="1671"/>
    </row>
    <row r="15" spans="1:53" s="369" customFormat="1" ht="15" customHeight="1" thickBot="1" x14ac:dyDescent="0.25">
      <c r="A15" s="1659"/>
      <c r="B15" s="630" t="s">
        <v>392</v>
      </c>
      <c r="C15" s="631">
        <v>17277</v>
      </c>
      <c r="D15" s="631"/>
      <c r="E15" s="631">
        <v>484</v>
      </c>
      <c r="F15" s="631">
        <v>1100</v>
      </c>
      <c r="G15" s="631">
        <f>102+240000-85</f>
        <v>240017</v>
      </c>
      <c r="H15" s="631"/>
      <c r="I15" s="631">
        <v>30430</v>
      </c>
      <c r="J15" s="631"/>
      <c r="K15" s="1291">
        <v>100000</v>
      </c>
      <c r="L15" s="1669">
        <f>SUM(C15:K15)</f>
        <v>389308</v>
      </c>
      <c r="M15" s="16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s="1646" customFormat="1" ht="0.2" customHeight="1" x14ac:dyDescent="0.2">
      <c r="A16" s="1373"/>
      <c r="B16" s="1374" t="s">
        <v>393</v>
      </c>
      <c r="C16" s="879"/>
      <c r="D16" s="879"/>
      <c r="E16" s="879"/>
      <c r="F16" s="879"/>
      <c r="G16" s="879"/>
      <c r="H16" s="879"/>
      <c r="I16" s="879"/>
      <c r="J16" s="879"/>
      <c r="K16" s="1289"/>
      <c r="L16" s="1670">
        <f>SUM(C16:K16)</f>
        <v>0</v>
      </c>
      <c r="M16" s="16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4" customFormat="1" ht="0.2" customHeight="1" x14ac:dyDescent="0.2">
      <c r="A17" s="448"/>
      <c r="B17" s="173" t="s">
        <v>391</v>
      </c>
      <c r="C17" s="255"/>
      <c r="D17" s="255"/>
      <c r="E17" s="255"/>
      <c r="F17" s="255"/>
      <c r="G17" s="255"/>
      <c r="H17" s="255"/>
      <c r="I17" s="255"/>
      <c r="J17" s="255"/>
      <c r="K17" s="1290"/>
      <c r="L17" s="1668">
        <f>SUM(C17:K17)</f>
        <v>0</v>
      </c>
      <c r="M17" s="169"/>
    </row>
    <row r="18" spans="1:53" ht="24.75" customHeight="1" x14ac:dyDescent="0.2">
      <c r="A18" s="448" t="s">
        <v>325</v>
      </c>
      <c r="B18" s="173" t="s">
        <v>326</v>
      </c>
      <c r="C18" s="255"/>
      <c r="D18" s="255"/>
      <c r="E18" s="255"/>
      <c r="F18" s="255"/>
      <c r="G18" s="255"/>
      <c r="H18" s="255"/>
      <c r="I18" s="255"/>
      <c r="J18" s="255"/>
      <c r="K18" s="1290"/>
      <c r="L18" s="1671"/>
    </row>
    <row r="19" spans="1:53" s="369" customFormat="1" ht="14.25" customHeight="1" thickBot="1" x14ac:dyDescent="0.25">
      <c r="A19" s="1659"/>
      <c r="B19" s="630" t="s">
        <v>392</v>
      </c>
      <c r="C19" s="631"/>
      <c r="D19" s="631"/>
      <c r="E19" s="631">
        <v>199</v>
      </c>
      <c r="F19" s="631"/>
      <c r="G19" s="631"/>
      <c r="H19" s="631"/>
      <c r="I19" s="631"/>
      <c r="J19" s="631"/>
      <c r="K19" s="1291"/>
      <c r="L19" s="1669">
        <f>SUM(C19:K19)</f>
        <v>199</v>
      </c>
      <c r="M19" s="16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s="1646" customFormat="1" ht="0.2" customHeight="1" x14ac:dyDescent="0.2">
      <c r="A20" s="1373"/>
      <c r="B20" s="1374" t="s">
        <v>393</v>
      </c>
      <c r="C20" s="879"/>
      <c r="D20" s="879"/>
      <c r="E20" s="879"/>
      <c r="F20" s="879"/>
      <c r="G20" s="879"/>
      <c r="H20" s="879"/>
      <c r="I20" s="879"/>
      <c r="J20" s="879"/>
      <c r="K20" s="1289"/>
      <c r="L20" s="1670">
        <f>SUM(C20:K20)</f>
        <v>0</v>
      </c>
      <c r="M20" s="16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s="4" customFormat="1" ht="0.2" customHeight="1" x14ac:dyDescent="0.2">
      <c r="A21" s="448"/>
      <c r="B21" s="173" t="s">
        <v>391</v>
      </c>
      <c r="C21" s="255"/>
      <c r="D21" s="255"/>
      <c r="E21" s="255"/>
      <c r="F21" s="255"/>
      <c r="G21" s="255"/>
      <c r="H21" s="255"/>
      <c r="I21" s="255"/>
      <c r="J21" s="255"/>
      <c r="K21" s="1290"/>
      <c r="L21" s="1668">
        <f>SUM(C21:K21)</f>
        <v>0</v>
      </c>
      <c r="M21" s="169"/>
    </row>
    <row r="22" spans="1:53" ht="13.5" customHeight="1" x14ac:dyDescent="0.2">
      <c r="A22" s="458" t="s">
        <v>305</v>
      </c>
      <c r="B22" s="457" t="s">
        <v>306</v>
      </c>
      <c r="C22" s="255"/>
      <c r="D22" s="255"/>
      <c r="E22" s="255"/>
      <c r="F22" s="255"/>
      <c r="G22" s="255"/>
      <c r="H22" s="255"/>
      <c r="I22" s="255"/>
      <c r="J22" s="255"/>
      <c r="K22" s="1290"/>
      <c r="L22" s="1671"/>
    </row>
    <row r="23" spans="1:53" s="369" customFormat="1" ht="13.5" customHeight="1" thickBot="1" x14ac:dyDescent="0.25">
      <c r="A23" s="1661"/>
      <c r="B23" s="630" t="s">
        <v>392</v>
      </c>
      <c r="C23" s="631"/>
      <c r="D23" s="631"/>
      <c r="E23" s="631"/>
      <c r="F23" s="631"/>
      <c r="G23" s="631"/>
      <c r="H23" s="631"/>
      <c r="I23" s="631"/>
      <c r="J23" s="631">
        <v>350000</v>
      </c>
      <c r="K23" s="1291"/>
      <c r="L23" s="1669">
        <f>SUM(C23:K23)</f>
        <v>350000</v>
      </c>
      <c r="M23" s="16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s="1646" customFormat="1" ht="0.2" customHeight="1" x14ac:dyDescent="0.2">
      <c r="A24" s="1649"/>
      <c r="B24" s="1374" t="s">
        <v>393</v>
      </c>
      <c r="C24" s="879"/>
      <c r="D24" s="879"/>
      <c r="E24" s="879"/>
      <c r="F24" s="879"/>
      <c r="G24" s="879"/>
      <c r="H24" s="879"/>
      <c r="I24" s="879"/>
      <c r="J24" s="879"/>
      <c r="K24" s="1289"/>
      <c r="L24" s="1670">
        <f>SUM(C24:K24)</f>
        <v>0</v>
      </c>
      <c r="M24" s="16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s="4" customFormat="1" ht="0.2" customHeight="1" x14ac:dyDescent="0.2">
      <c r="A25" s="458"/>
      <c r="B25" s="173" t="s">
        <v>391</v>
      </c>
      <c r="C25" s="255"/>
      <c r="D25" s="255"/>
      <c r="E25" s="255"/>
      <c r="F25" s="255"/>
      <c r="G25" s="255"/>
      <c r="H25" s="255"/>
      <c r="I25" s="255"/>
      <c r="J25" s="255"/>
      <c r="K25" s="1290"/>
      <c r="L25" s="1668">
        <f>SUM(C25:K25)</f>
        <v>0</v>
      </c>
      <c r="M25" s="169"/>
    </row>
    <row r="26" spans="1:53" ht="13.5" customHeight="1" x14ac:dyDescent="0.2">
      <c r="A26" s="458" t="s">
        <v>246</v>
      </c>
      <c r="B26" s="173" t="s">
        <v>134</v>
      </c>
      <c r="C26" s="255"/>
      <c r="D26" s="255"/>
      <c r="E26" s="255"/>
      <c r="F26" s="255"/>
      <c r="G26" s="255"/>
      <c r="H26" s="255"/>
      <c r="I26" s="255"/>
      <c r="J26" s="255"/>
      <c r="K26" s="1290"/>
      <c r="L26" s="1671"/>
    </row>
    <row r="27" spans="1:53" s="369" customFormat="1" ht="13.5" customHeight="1" thickBot="1" x14ac:dyDescent="0.25">
      <c r="A27" s="1661"/>
      <c r="B27" s="630" t="s">
        <v>392</v>
      </c>
      <c r="C27" s="631"/>
      <c r="D27" s="631"/>
      <c r="E27" s="631"/>
      <c r="F27" s="631"/>
      <c r="G27" s="631"/>
      <c r="H27" s="631"/>
      <c r="I27" s="631"/>
      <c r="J27" s="631"/>
      <c r="K27" s="1291"/>
      <c r="L27" s="1669"/>
      <c r="M27" s="16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1646" customFormat="1" ht="0.2" customHeight="1" x14ac:dyDescent="0.2">
      <c r="A28" s="1649"/>
      <c r="B28" s="1374" t="s">
        <v>393</v>
      </c>
      <c r="C28" s="879"/>
      <c r="D28" s="879"/>
      <c r="E28" s="879"/>
      <c r="F28" s="879"/>
      <c r="G28" s="879"/>
      <c r="H28" s="879"/>
      <c r="I28" s="879"/>
      <c r="J28" s="879"/>
      <c r="K28" s="1289"/>
      <c r="L28" s="1670">
        <f>SUM(C28:K28)</f>
        <v>0</v>
      </c>
      <c r="M28" s="16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4" customFormat="1" ht="0.2" customHeight="1" x14ac:dyDescent="0.2">
      <c r="A29" s="458"/>
      <c r="B29" s="173" t="s">
        <v>391</v>
      </c>
      <c r="C29" s="255"/>
      <c r="D29" s="255"/>
      <c r="E29" s="255"/>
      <c r="F29" s="255"/>
      <c r="G29" s="255"/>
      <c r="H29" s="255"/>
      <c r="I29" s="255"/>
      <c r="J29" s="255"/>
      <c r="K29" s="1290"/>
      <c r="L29" s="1668">
        <f>SUM(C29:K29)</f>
        <v>0</v>
      </c>
      <c r="M29" s="169"/>
    </row>
    <row r="30" spans="1:53" ht="13.5" customHeight="1" x14ac:dyDescent="0.2">
      <c r="A30" s="458" t="s">
        <v>258</v>
      </c>
      <c r="B30" s="173" t="s">
        <v>491</v>
      </c>
      <c r="C30" s="255"/>
      <c r="D30" s="255"/>
      <c r="E30" s="255"/>
      <c r="F30" s="255"/>
      <c r="G30" s="255"/>
      <c r="H30" s="255"/>
      <c r="I30" s="255"/>
      <c r="J30" s="255"/>
      <c r="K30" s="1290"/>
      <c r="L30" s="1671"/>
    </row>
    <row r="31" spans="1:53" s="369" customFormat="1" ht="13.5" customHeight="1" thickBot="1" x14ac:dyDescent="0.25">
      <c r="A31" s="1661"/>
      <c r="B31" s="630" t="s">
        <v>392</v>
      </c>
      <c r="C31" s="631"/>
      <c r="D31" s="631"/>
      <c r="E31" s="631"/>
      <c r="F31" s="631">
        <v>1905</v>
      </c>
      <c r="G31" s="631"/>
      <c r="H31" s="631"/>
      <c r="I31" s="631"/>
      <c r="J31" s="631"/>
      <c r="K31" s="1291"/>
      <c r="L31" s="1669">
        <f>SUM(C31:K31)</f>
        <v>1905</v>
      </c>
      <c r="M31" s="16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1646" customFormat="1" ht="0.2" customHeight="1" x14ac:dyDescent="0.2">
      <c r="A32" s="1649"/>
      <c r="B32" s="1374" t="s">
        <v>393</v>
      </c>
      <c r="C32" s="879"/>
      <c r="D32" s="879"/>
      <c r="E32" s="879"/>
      <c r="F32" s="879"/>
      <c r="G32" s="879"/>
      <c r="H32" s="879"/>
      <c r="I32" s="879"/>
      <c r="J32" s="879"/>
      <c r="K32" s="1289"/>
      <c r="L32" s="1670">
        <f>SUM(F32:K32)</f>
        <v>0</v>
      </c>
      <c r="M32" s="16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s="4" customFormat="1" ht="0.2" customHeight="1" x14ac:dyDescent="0.2">
      <c r="A33" s="458"/>
      <c r="B33" s="173" t="s">
        <v>391</v>
      </c>
      <c r="C33" s="255"/>
      <c r="D33" s="255"/>
      <c r="E33" s="255"/>
      <c r="F33" s="255"/>
      <c r="G33" s="255"/>
      <c r="H33" s="255"/>
      <c r="I33" s="255"/>
      <c r="J33" s="255"/>
      <c r="K33" s="1290"/>
      <c r="L33" s="1668">
        <f>SUM(F33:K33)</f>
        <v>0</v>
      </c>
      <c r="M33" s="169"/>
    </row>
    <row r="34" spans="1:53" ht="15" customHeight="1" x14ac:dyDescent="0.2">
      <c r="A34" s="448" t="s">
        <v>266</v>
      </c>
      <c r="B34" s="173" t="s">
        <v>267</v>
      </c>
      <c r="C34" s="255"/>
      <c r="D34" s="255"/>
      <c r="E34" s="255"/>
      <c r="F34" s="255"/>
      <c r="G34" s="255"/>
      <c r="H34" s="255"/>
      <c r="I34" s="255"/>
      <c r="J34" s="255"/>
      <c r="K34" s="1290"/>
      <c r="L34" s="1671"/>
    </row>
    <row r="35" spans="1:53" s="369" customFormat="1" ht="15" customHeight="1" thickBot="1" x14ac:dyDescent="0.25">
      <c r="A35" s="1659"/>
      <c r="B35" s="630" t="s">
        <v>392</v>
      </c>
      <c r="C35" s="631"/>
      <c r="D35" s="631">
        <v>4662</v>
      </c>
      <c r="E35" s="631"/>
      <c r="F35" s="631">
        <v>7320</v>
      </c>
      <c r="G35" s="631"/>
      <c r="H35" s="631"/>
      <c r="I35" s="631"/>
      <c r="J35" s="631"/>
      <c r="K35" s="1291"/>
      <c r="L35" s="1669">
        <f>SUM(C35:K35)</f>
        <v>11982</v>
      </c>
      <c r="M35" s="16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s="1646" customFormat="1" ht="0.2" customHeight="1" x14ac:dyDescent="0.2">
      <c r="A36" s="1373"/>
      <c r="B36" s="1374" t="s">
        <v>393</v>
      </c>
      <c r="C36" s="879"/>
      <c r="D36" s="879"/>
      <c r="E36" s="879"/>
      <c r="F36" s="879"/>
      <c r="G36" s="879"/>
      <c r="H36" s="879"/>
      <c r="I36" s="879"/>
      <c r="J36" s="879"/>
      <c r="K36" s="1289"/>
      <c r="L36" s="1670">
        <f>SUM(C36:K36)</f>
        <v>0</v>
      </c>
      <c r="M36" s="16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s="4" customFormat="1" ht="0.2" customHeight="1" x14ac:dyDescent="0.2">
      <c r="A37" s="448"/>
      <c r="B37" s="173" t="s">
        <v>391</v>
      </c>
      <c r="C37" s="255"/>
      <c r="D37" s="255"/>
      <c r="E37" s="255"/>
      <c r="F37" s="255"/>
      <c r="G37" s="255"/>
      <c r="H37" s="255"/>
      <c r="I37" s="255"/>
      <c r="J37" s="255"/>
      <c r="K37" s="1290"/>
      <c r="L37" s="1668">
        <f>SUM(C37:K37)</f>
        <v>0</v>
      </c>
      <c r="M37" s="169"/>
    </row>
    <row r="38" spans="1:53" ht="15" customHeight="1" x14ac:dyDescent="0.2">
      <c r="A38" s="448" t="s">
        <v>337</v>
      </c>
      <c r="B38" s="173" t="s">
        <v>338</v>
      </c>
      <c r="C38" s="255"/>
      <c r="D38" s="255"/>
      <c r="E38" s="255"/>
      <c r="F38" s="255"/>
      <c r="G38" s="255"/>
      <c r="H38" s="255"/>
      <c r="I38" s="255"/>
      <c r="J38" s="255"/>
      <c r="K38" s="1290"/>
      <c r="L38" s="1671"/>
    </row>
    <row r="39" spans="1:53" s="369" customFormat="1" ht="15" customHeight="1" thickBot="1" x14ac:dyDescent="0.25">
      <c r="A39" s="1659"/>
      <c r="B39" s="630" t="s">
        <v>392</v>
      </c>
      <c r="C39" s="631">
        <v>900</v>
      </c>
      <c r="D39" s="631"/>
      <c r="E39" s="631"/>
      <c r="F39" s="631"/>
      <c r="G39" s="631"/>
      <c r="H39" s="631"/>
      <c r="I39" s="631"/>
      <c r="J39" s="631"/>
      <c r="K39" s="1291"/>
      <c r="L39" s="1669">
        <f>SUM(C39:K39)</f>
        <v>900</v>
      </c>
      <c r="M39" s="16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1646" customFormat="1" ht="0.2" customHeight="1" x14ac:dyDescent="0.2">
      <c r="A40" s="1373"/>
      <c r="B40" s="1374" t="s">
        <v>393</v>
      </c>
      <c r="C40" s="879"/>
      <c r="D40" s="879"/>
      <c r="E40" s="879"/>
      <c r="F40" s="879"/>
      <c r="G40" s="879"/>
      <c r="H40" s="879"/>
      <c r="I40" s="879"/>
      <c r="J40" s="879"/>
      <c r="K40" s="1289"/>
      <c r="L40" s="1670">
        <f>SUM(C40:K40)</f>
        <v>0</v>
      </c>
      <c r="M40" s="16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4" customFormat="1" ht="0.2" customHeight="1" x14ac:dyDescent="0.2">
      <c r="A41" s="448"/>
      <c r="B41" s="173" t="s">
        <v>391</v>
      </c>
      <c r="C41" s="255"/>
      <c r="D41" s="255"/>
      <c r="E41" s="255"/>
      <c r="F41" s="255"/>
      <c r="G41" s="255"/>
      <c r="H41" s="255"/>
      <c r="I41" s="255"/>
      <c r="J41" s="255"/>
      <c r="K41" s="1290"/>
      <c r="L41" s="1668">
        <f>SUM(C41:K41)</f>
        <v>0</v>
      </c>
      <c r="M41" s="169"/>
    </row>
    <row r="42" spans="1:53" ht="12.75" customHeight="1" x14ac:dyDescent="0.2">
      <c r="A42" s="448" t="s">
        <v>270</v>
      </c>
      <c r="B42" s="173" t="s">
        <v>168</v>
      </c>
      <c r="C42" s="1094"/>
      <c r="D42" s="1095"/>
      <c r="E42" s="1095"/>
      <c r="F42" s="1095"/>
      <c r="G42" s="1095"/>
      <c r="H42" s="1095"/>
      <c r="I42" s="1095"/>
      <c r="J42" s="1095"/>
      <c r="K42" s="1375"/>
      <c r="L42" s="1671"/>
    </row>
    <row r="43" spans="1:53" s="369" customFormat="1" ht="12.75" customHeight="1" thickBot="1" x14ac:dyDescent="0.25">
      <c r="A43" s="1659"/>
      <c r="B43" s="630" t="s">
        <v>392</v>
      </c>
      <c r="C43" s="1814">
        <v>8351</v>
      </c>
      <c r="D43" s="1663"/>
      <c r="E43" s="1663"/>
      <c r="F43" s="1663"/>
      <c r="G43" s="1663"/>
      <c r="H43" s="1663"/>
      <c r="I43" s="1663"/>
      <c r="J43" s="1663"/>
      <c r="K43" s="1664"/>
      <c r="L43" s="1669">
        <f>SUM(C43:K43)</f>
        <v>8351</v>
      </c>
      <c r="M43" s="16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s="1646" customFormat="1" ht="0.2" customHeight="1" x14ac:dyDescent="0.2">
      <c r="A44" s="1373"/>
      <c r="B44" s="1374" t="s">
        <v>393</v>
      </c>
      <c r="C44" s="1815"/>
      <c r="D44" s="1651"/>
      <c r="E44" s="1651"/>
      <c r="F44" s="1651"/>
      <c r="G44" s="1651"/>
      <c r="H44" s="1651"/>
      <c r="I44" s="1651"/>
      <c r="J44" s="1651"/>
      <c r="K44" s="1652"/>
      <c r="L44" s="1670">
        <f>SUM(C44:K44)</f>
        <v>0</v>
      </c>
      <c r="M44" s="16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s="4" customFormat="1" ht="0.2" customHeight="1" x14ac:dyDescent="0.2">
      <c r="A45" s="448"/>
      <c r="B45" s="173" t="s">
        <v>391</v>
      </c>
      <c r="C45" s="1390"/>
      <c r="D45" s="1095"/>
      <c r="E45" s="1095"/>
      <c r="F45" s="1095"/>
      <c r="G45" s="1094"/>
      <c r="H45" s="1094"/>
      <c r="I45" s="1095"/>
      <c r="J45" s="1095"/>
      <c r="K45" s="1375"/>
      <c r="L45" s="1668">
        <f>SUM(C45:K45)</f>
        <v>0</v>
      </c>
      <c r="M45" s="169"/>
    </row>
    <row r="46" spans="1:53" ht="12.75" customHeight="1" x14ac:dyDescent="0.2">
      <c r="A46" s="448" t="s">
        <v>271</v>
      </c>
      <c r="B46" s="173" t="s">
        <v>303</v>
      </c>
      <c r="C46" s="1390"/>
      <c r="D46" s="1095"/>
      <c r="E46" s="1095"/>
      <c r="F46" s="1095"/>
      <c r="G46" s="1095"/>
      <c r="H46" s="1095"/>
      <c r="I46" s="1095"/>
      <c r="J46" s="1095"/>
      <c r="K46" s="1375"/>
      <c r="L46" s="1671"/>
    </row>
    <row r="47" spans="1:53" s="369" customFormat="1" ht="12.75" customHeight="1" thickBot="1" x14ac:dyDescent="0.25">
      <c r="A47" s="1659"/>
      <c r="B47" s="630" t="s">
        <v>392</v>
      </c>
      <c r="C47" s="1814">
        <v>8460</v>
      </c>
      <c r="D47" s="1663"/>
      <c r="E47" s="1663"/>
      <c r="F47" s="1663"/>
      <c r="G47" s="1663"/>
      <c r="H47" s="1663"/>
      <c r="I47" s="1663"/>
      <c r="J47" s="1663"/>
      <c r="K47" s="1664"/>
      <c r="L47" s="1669">
        <f>SUM(C47:K47)</f>
        <v>8460</v>
      </c>
      <c r="M47" s="16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s="1646" customFormat="1" ht="0.2" customHeight="1" x14ac:dyDescent="0.2">
      <c r="A48" s="1373"/>
      <c r="B48" s="1374" t="s">
        <v>393</v>
      </c>
      <c r="C48" s="1650"/>
      <c r="D48" s="1651"/>
      <c r="E48" s="1651"/>
      <c r="F48" s="1651"/>
      <c r="G48" s="1651"/>
      <c r="H48" s="1650"/>
      <c r="I48" s="1651"/>
      <c r="J48" s="1651"/>
      <c r="K48" s="1652"/>
      <c r="L48" s="1670">
        <f>SUM(C48:K48)</f>
        <v>0</v>
      </c>
      <c r="M48" s="16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s="4" customFormat="1" ht="0.2" customHeight="1" x14ac:dyDescent="0.2">
      <c r="A49" s="448"/>
      <c r="B49" s="173" t="s">
        <v>391</v>
      </c>
      <c r="C49" s="1094"/>
      <c r="D49" s="1095"/>
      <c r="E49" s="1095"/>
      <c r="F49" s="1095"/>
      <c r="G49" s="1095"/>
      <c r="H49" s="1095"/>
      <c r="I49" s="1095"/>
      <c r="J49" s="1095"/>
      <c r="K49" s="1375"/>
      <c r="L49" s="1668">
        <f>SUM(C49:K49)</f>
        <v>0</v>
      </c>
      <c r="M49" s="169"/>
    </row>
    <row r="50" spans="1:53" ht="15" customHeight="1" x14ac:dyDescent="0.2">
      <c r="A50" s="448" t="s">
        <v>262</v>
      </c>
      <c r="B50" s="173" t="s">
        <v>323</v>
      </c>
      <c r="C50" s="255"/>
      <c r="D50" s="255"/>
      <c r="E50" s="255"/>
      <c r="F50" s="255"/>
      <c r="G50" s="255"/>
      <c r="H50" s="255"/>
      <c r="I50" s="255"/>
      <c r="J50" s="255"/>
      <c r="K50" s="1290"/>
      <c r="L50" s="1671"/>
    </row>
    <row r="51" spans="1:53" s="369" customFormat="1" ht="15" customHeight="1" thickBot="1" x14ac:dyDescent="0.25">
      <c r="A51" s="1659"/>
      <c r="B51" s="630" t="s">
        <v>392</v>
      </c>
      <c r="C51" s="631"/>
      <c r="D51" s="631"/>
      <c r="E51" s="631"/>
      <c r="F51" s="631"/>
      <c r="G51" s="631"/>
      <c r="H51" s="631"/>
      <c r="I51" s="631"/>
      <c r="J51" s="631"/>
      <c r="K51" s="1291"/>
      <c r="L51" s="1669">
        <f>SUM(C51:K51)</f>
        <v>0</v>
      </c>
      <c r="M51" s="16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s="1646" customFormat="1" ht="0.2" customHeight="1" x14ac:dyDescent="0.2">
      <c r="A52" s="1373"/>
      <c r="B52" s="1374" t="s">
        <v>393</v>
      </c>
      <c r="C52" s="879"/>
      <c r="D52" s="879"/>
      <c r="E52" s="879"/>
      <c r="F52" s="879"/>
      <c r="G52" s="879"/>
      <c r="H52" s="879"/>
      <c r="I52" s="879"/>
      <c r="J52" s="879"/>
      <c r="K52" s="1289"/>
      <c r="L52" s="1670">
        <f>SUM(C52:K52)</f>
        <v>0</v>
      </c>
      <c r="M52" s="16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s="4" customFormat="1" ht="0.2" customHeight="1" x14ac:dyDescent="0.2">
      <c r="A53" s="448"/>
      <c r="B53" s="173" t="s">
        <v>391</v>
      </c>
      <c r="C53" s="255"/>
      <c r="D53" s="255"/>
      <c r="E53" s="255"/>
      <c r="F53" s="255"/>
      <c r="G53" s="255"/>
      <c r="H53" s="255"/>
      <c r="I53" s="255"/>
      <c r="J53" s="255"/>
      <c r="K53" s="1290"/>
      <c r="L53" s="1668">
        <f>SUM(C53:K53)</f>
        <v>0</v>
      </c>
      <c r="M53" s="169"/>
    </row>
    <row r="54" spans="1:53" ht="15.75" customHeight="1" x14ac:dyDescent="0.2">
      <c r="A54" s="448" t="s">
        <v>273</v>
      </c>
      <c r="B54" s="173" t="s">
        <v>274</v>
      </c>
      <c r="C54" s="255"/>
      <c r="D54" s="255"/>
      <c r="E54" s="255"/>
      <c r="F54" s="255"/>
      <c r="G54" s="255"/>
      <c r="H54" s="255"/>
      <c r="I54" s="255"/>
      <c r="J54" s="255"/>
      <c r="K54" s="1290"/>
      <c r="L54" s="1671"/>
    </row>
    <row r="55" spans="1:53" s="369" customFormat="1" ht="15.75" customHeight="1" thickBot="1" x14ac:dyDescent="0.25">
      <c r="A55" s="1659"/>
      <c r="B55" s="630" t="s">
        <v>392</v>
      </c>
      <c r="C55" s="631"/>
      <c r="D55" s="631"/>
      <c r="E55" s="631"/>
      <c r="F55" s="631"/>
      <c r="G55" s="631"/>
      <c r="H55" s="631"/>
      <c r="I55" s="631"/>
      <c r="J55" s="631"/>
      <c r="K55" s="1291"/>
      <c r="L55" s="1669">
        <f>SUM(C55:K55)</f>
        <v>0</v>
      </c>
      <c r="M55" s="16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s="1646" customFormat="1" ht="0.2" customHeight="1" x14ac:dyDescent="0.2">
      <c r="A56" s="1373"/>
      <c r="B56" s="1374" t="s">
        <v>393</v>
      </c>
      <c r="C56" s="879"/>
      <c r="D56" s="879"/>
      <c r="E56" s="879"/>
      <c r="F56" s="879"/>
      <c r="G56" s="879"/>
      <c r="H56" s="879"/>
      <c r="I56" s="879"/>
      <c r="J56" s="879"/>
      <c r="K56" s="1289"/>
      <c r="L56" s="1670">
        <f>SUM(C56:K56)</f>
        <v>0</v>
      </c>
      <c r="M56" s="16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s="4" customFormat="1" ht="0.2" customHeight="1" x14ac:dyDescent="0.2">
      <c r="A57" s="448"/>
      <c r="B57" s="173" t="s">
        <v>391</v>
      </c>
      <c r="C57" s="255"/>
      <c r="D57" s="255"/>
      <c r="E57" s="255"/>
      <c r="F57" s="255"/>
      <c r="G57" s="255"/>
      <c r="H57" s="255"/>
      <c r="I57" s="255"/>
      <c r="J57" s="255"/>
      <c r="K57" s="1290"/>
      <c r="L57" s="1668">
        <f>SUM(C57:K57)</f>
        <v>0</v>
      </c>
      <c r="M57" s="169"/>
    </row>
    <row r="58" spans="1:53" ht="15.75" customHeight="1" x14ac:dyDescent="0.2">
      <c r="A58" s="448" t="s">
        <v>275</v>
      </c>
      <c r="B58" s="173" t="s">
        <v>113</v>
      </c>
      <c r="C58" s="255"/>
      <c r="D58" s="255"/>
      <c r="E58" s="255"/>
      <c r="F58" s="255"/>
      <c r="G58" s="255"/>
      <c r="H58" s="255"/>
      <c r="I58" s="255"/>
      <c r="J58" s="255"/>
      <c r="K58" s="1290"/>
      <c r="L58" s="1671"/>
    </row>
    <row r="59" spans="1:53" s="369" customFormat="1" ht="15.75" customHeight="1" thickBot="1" x14ac:dyDescent="0.25">
      <c r="A59" s="1659"/>
      <c r="B59" s="630" t="s">
        <v>392</v>
      </c>
      <c r="C59" s="631">
        <v>980</v>
      </c>
      <c r="D59" s="631"/>
      <c r="E59" s="631"/>
      <c r="F59" s="631"/>
      <c r="G59" s="631"/>
      <c r="H59" s="631"/>
      <c r="I59" s="631"/>
      <c r="J59" s="631"/>
      <c r="K59" s="1291"/>
      <c r="L59" s="1669">
        <f>SUM(C59:K59)</f>
        <v>980</v>
      </c>
      <c r="M59" s="16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s="1646" customFormat="1" ht="0.2" customHeight="1" x14ac:dyDescent="0.2">
      <c r="A60" s="1373"/>
      <c r="B60" s="1374" t="s">
        <v>393</v>
      </c>
      <c r="C60" s="879"/>
      <c r="D60" s="879"/>
      <c r="E60" s="879"/>
      <c r="F60" s="879"/>
      <c r="G60" s="879"/>
      <c r="H60" s="879"/>
      <c r="I60" s="879"/>
      <c r="J60" s="879"/>
      <c r="K60" s="1289"/>
      <c r="L60" s="1670">
        <f>SUM(C60:K60)</f>
        <v>0</v>
      </c>
      <c r="M60" s="16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s="4" customFormat="1" ht="0.2" customHeight="1" x14ac:dyDescent="0.2">
      <c r="A61" s="448"/>
      <c r="B61" s="173" t="s">
        <v>391</v>
      </c>
      <c r="C61" s="255"/>
      <c r="D61" s="255"/>
      <c r="E61" s="255"/>
      <c r="F61" s="255"/>
      <c r="G61" s="255"/>
      <c r="H61" s="255"/>
      <c r="I61" s="255"/>
      <c r="J61" s="255"/>
      <c r="K61" s="1290"/>
      <c r="L61" s="1668">
        <f>SUM(C61:K61)</f>
        <v>0</v>
      </c>
      <c r="M61" s="169"/>
    </row>
    <row r="62" spans="1:53" ht="15.75" customHeight="1" x14ac:dyDescent="0.2">
      <c r="A62" s="448" t="s">
        <v>278</v>
      </c>
      <c r="B62" s="173" t="s">
        <v>170</v>
      </c>
      <c r="C62" s="255"/>
      <c r="D62" s="255"/>
      <c r="E62" s="255"/>
      <c r="F62" s="255"/>
      <c r="G62" s="255"/>
      <c r="H62" s="255"/>
      <c r="I62" s="255"/>
      <c r="J62" s="255"/>
      <c r="K62" s="1290"/>
      <c r="L62" s="1671"/>
    </row>
    <row r="63" spans="1:53" s="369" customFormat="1" ht="15.75" customHeight="1" thickBot="1" x14ac:dyDescent="0.25">
      <c r="A63" s="1659"/>
      <c r="B63" s="630" t="s">
        <v>392</v>
      </c>
      <c r="C63" s="631"/>
      <c r="D63" s="631"/>
      <c r="E63" s="631"/>
      <c r="F63" s="631">
        <v>8544</v>
      </c>
      <c r="G63" s="631"/>
      <c r="H63" s="631"/>
      <c r="I63" s="631"/>
      <c r="J63" s="631"/>
      <c r="K63" s="1291"/>
      <c r="L63" s="1669">
        <f>SUM(C63:K63)</f>
        <v>8544</v>
      </c>
      <c r="M63" s="16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s="1646" customFormat="1" ht="0.2" customHeight="1" x14ac:dyDescent="0.2">
      <c r="A64" s="1373"/>
      <c r="B64" s="1374" t="s">
        <v>393</v>
      </c>
      <c r="C64" s="879"/>
      <c r="D64" s="879"/>
      <c r="E64" s="879"/>
      <c r="F64" s="879"/>
      <c r="G64" s="879"/>
      <c r="H64" s="879"/>
      <c r="I64" s="879"/>
      <c r="J64" s="879"/>
      <c r="K64" s="1289"/>
      <c r="L64" s="1670">
        <f>SUM(C64:K64)</f>
        <v>0</v>
      </c>
      <c r="M64" s="16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s="4" customFormat="1" ht="0.2" customHeight="1" x14ac:dyDescent="0.2">
      <c r="A65" s="448"/>
      <c r="B65" s="173" t="s">
        <v>391</v>
      </c>
      <c r="C65" s="255"/>
      <c r="D65" s="255"/>
      <c r="E65" s="255"/>
      <c r="F65" s="255"/>
      <c r="G65" s="255"/>
      <c r="H65" s="255"/>
      <c r="I65" s="255"/>
      <c r="J65" s="255"/>
      <c r="K65" s="1290"/>
      <c r="L65" s="1668">
        <f>SUM(C65:K65)</f>
        <v>0</v>
      </c>
      <c r="M65" s="169"/>
    </row>
    <row r="66" spans="1:53" ht="15.75" customHeight="1" x14ac:dyDescent="0.2">
      <c r="A66" s="448" t="s">
        <v>279</v>
      </c>
      <c r="B66" s="173" t="s">
        <v>339</v>
      </c>
      <c r="C66" s="255"/>
      <c r="D66" s="255"/>
      <c r="E66" s="255"/>
      <c r="F66" s="255"/>
      <c r="G66" s="255"/>
      <c r="H66" s="255"/>
      <c r="I66" s="255"/>
      <c r="J66" s="255"/>
      <c r="K66" s="1290"/>
      <c r="L66" s="1671"/>
    </row>
    <row r="67" spans="1:53" s="369" customFormat="1" ht="15.75" customHeight="1" thickBot="1" x14ac:dyDescent="0.25">
      <c r="A67" s="1659"/>
      <c r="B67" s="630" t="s">
        <v>392</v>
      </c>
      <c r="C67" s="631"/>
      <c r="D67" s="631"/>
      <c r="E67" s="631"/>
      <c r="F67" s="631">
        <v>336</v>
      </c>
      <c r="G67" s="631"/>
      <c r="H67" s="631"/>
      <c r="I67" s="631"/>
      <c r="J67" s="631"/>
      <c r="K67" s="1291"/>
      <c r="L67" s="1669">
        <f>SUM(C67:K67)</f>
        <v>336</v>
      </c>
      <c r="M67" s="16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s="1646" customFormat="1" ht="0.2" customHeight="1" x14ac:dyDescent="0.2">
      <c r="A68" s="1373"/>
      <c r="B68" s="1374" t="s">
        <v>393</v>
      </c>
      <c r="C68" s="879"/>
      <c r="D68" s="879"/>
      <c r="E68" s="879"/>
      <c r="F68" s="879"/>
      <c r="G68" s="879"/>
      <c r="H68" s="879"/>
      <c r="I68" s="879"/>
      <c r="J68" s="879"/>
      <c r="K68" s="1289"/>
      <c r="L68" s="1670">
        <f>SUM(C68:K68)</f>
        <v>0</v>
      </c>
      <c r="M68" s="16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s="4" customFormat="1" ht="0.2" customHeight="1" x14ac:dyDescent="0.2">
      <c r="A69" s="448"/>
      <c r="B69" s="173" t="s">
        <v>391</v>
      </c>
      <c r="C69" s="255"/>
      <c r="D69" s="255"/>
      <c r="E69" s="255"/>
      <c r="F69" s="255"/>
      <c r="G69" s="255"/>
      <c r="H69" s="255"/>
      <c r="I69" s="255"/>
      <c r="J69" s="255"/>
      <c r="K69" s="1290"/>
      <c r="L69" s="1668">
        <f>SUM(C69:K69)</f>
        <v>0</v>
      </c>
      <c r="M69" s="169"/>
    </row>
    <row r="70" spans="1:53" ht="15.75" customHeight="1" x14ac:dyDescent="0.2">
      <c r="A70" s="674" t="s">
        <v>254</v>
      </c>
      <c r="B70" s="678" t="s">
        <v>4</v>
      </c>
      <c r="C70" s="255"/>
      <c r="D70" s="255"/>
      <c r="E70" s="255"/>
      <c r="F70" s="255"/>
      <c r="G70" s="255"/>
      <c r="H70" s="255"/>
      <c r="I70" s="255"/>
      <c r="J70" s="255"/>
      <c r="K70" s="1290"/>
      <c r="L70" s="1671"/>
    </row>
    <row r="71" spans="1:53" s="369" customFormat="1" ht="15.75" customHeight="1" thickBot="1" x14ac:dyDescent="0.25">
      <c r="A71" s="689"/>
      <c r="B71" s="1099" t="s">
        <v>392</v>
      </c>
      <c r="C71" s="631"/>
      <c r="D71" s="631"/>
      <c r="E71" s="631">
        <v>2000</v>
      </c>
      <c r="F71" s="631"/>
      <c r="G71" s="631"/>
      <c r="H71" s="631"/>
      <c r="I71" s="631"/>
      <c r="J71" s="631"/>
      <c r="K71" s="1291"/>
      <c r="L71" s="1669">
        <f>SUM(C71:K71)</f>
        <v>2000</v>
      </c>
      <c r="M71" s="16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s="1646" customFormat="1" ht="0.2" customHeight="1" x14ac:dyDescent="0.2">
      <c r="A72" s="1653"/>
      <c r="B72" s="1654" t="s">
        <v>393</v>
      </c>
      <c r="C72" s="879"/>
      <c r="D72" s="879"/>
      <c r="E72" s="879"/>
      <c r="F72" s="879"/>
      <c r="G72" s="879"/>
      <c r="H72" s="879"/>
      <c r="I72" s="879"/>
      <c r="J72" s="879"/>
      <c r="K72" s="1289"/>
      <c r="L72" s="1670">
        <f>SUM(C72:K72)</f>
        <v>0</v>
      </c>
      <c r="M72" s="16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s="4" customFormat="1" ht="0.2" customHeight="1" x14ac:dyDescent="0.2">
      <c r="A73" s="674"/>
      <c r="B73" s="678" t="s">
        <v>391</v>
      </c>
      <c r="C73" s="255"/>
      <c r="D73" s="255"/>
      <c r="E73" s="255"/>
      <c r="F73" s="255"/>
      <c r="G73" s="255"/>
      <c r="H73" s="255"/>
      <c r="I73" s="255"/>
      <c r="J73" s="255"/>
      <c r="K73" s="1290"/>
      <c r="L73" s="1668">
        <f>SUM(C73:K73)</f>
        <v>0</v>
      </c>
      <c r="M73" s="169"/>
    </row>
    <row r="74" spans="1:53" ht="15.75" customHeight="1" x14ac:dyDescent="0.2">
      <c r="A74" s="674" t="s">
        <v>255</v>
      </c>
      <c r="B74" s="678" t="s">
        <v>495</v>
      </c>
      <c r="C74" s="255"/>
      <c r="D74" s="255"/>
      <c r="E74" s="255"/>
      <c r="F74" s="255"/>
      <c r="G74" s="255"/>
      <c r="H74" s="255"/>
      <c r="I74" s="255"/>
      <c r="J74" s="255"/>
      <c r="K74" s="1290"/>
      <c r="L74" s="1671"/>
    </row>
    <row r="75" spans="1:53" s="369" customFormat="1" ht="15.75" customHeight="1" thickBot="1" x14ac:dyDescent="0.25">
      <c r="A75" s="689"/>
      <c r="B75" s="1099" t="s">
        <v>392</v>
      </c>
      <c r="C75" s="631"/>
      <c r="D75" s="631"/>
      <c r="E75" s="631">
        <v>4049</v>
      </c>
      <c r="F75" s="631"/>
      <c r="G75" s="631"/>
      <c r="H75" s="631"/>
      <c r="I75" s="631"/>
      <c r="J75" s="631"/>
      <c r="K75" s="1291"/>
      <c r="L75" s="1669">
        <f>SUM(C75:K75)</f>
        <v>4049</v>
      </c>
      <c r="M75" s="16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s="1646" customFormat="1" ht="0.2" customHeight="1" x14ac:dyDescent="0.2">
      <c r="A76" s="1653"/>
      <c r="B76" s="1654" t="s">
        <v>393</v>
      </c>
      <c r="C76" s="879"/>
      <c r="D76" s="879"/>
      <c r="E76" s="879"/>
      <c r="F76" s="879"/>
      <c r="G76" s="879"/>
      <c r="H76" s="879"/>
      <c r="I76" s="879"/>
      <c r="J76" s="879"/>
      <c r="K76" s="1289"/>
      <c r="L76" s="1670">
        <f>SUM(E76:K76)</f>
        <v>0</v>
      </c>
      <c r="M76" s="16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s="4" customFormat="1" ht="0.2" customHeight="1" x14ac:dyDescent="0.2">
      <c r="A77" s="427"/>
      <c r="B77" s="173" t="s">
        <v>391</v>
      </c>
      <c r="C77" s="255"/>
      <c r="D77" s="255"/>
      <c r="E77" s="255"/>
      <c r="F77" s="255"/>
      <c r="G77" s="255"/>
      <c r="H77" s="255"/>
      <c r="I77" s="255"/>
      <c r="J77" s="255"/>
      <c r="K77" s="1290"/>
      <c r="L77" s="1668">
        <f>SUM(E77:K77)</f>
        <v>0</v>
      </c>
      <c r="M77" s="169"/>
    </row>
    <row r="78" spans="1:53" ht="15.75" customHeight="1" x14ac:dyDescent="0.2">
      <c r="A78" s="448" t="s">
        <v>282</v>
      </c>
      <c r="B78" s="173" t="s">
        <v>283</v>
      </c>
      <c r="C78" s="255"/>
      <c r="D78" s="255"/>
      <c r="E78" s="255"/>
      <c r="F78" s="255"/>
      <c r="G78" s="255"/>
      <c r="H78" s="255"/>
      <c r="I78" s="255"/>
      <c r="J78" s="255"/>
      <c r="K78" s="1290"/>
      <c r="L78" s="1671"/>
    </row>
    <row r="79" spans="1:53" s="369" customFormat="1" ht="15.75" customHeight="1" thickBot="1" x14ac:dyDescent="0.25">
      <c r="A79" s="1659"/>
      <c r="B79" s="630" t="s">
        <v>392</v>
      </c>
      <c r="C79" s="631">
        <v>381</v>
      </c>
      <c r="D79" s="631"/>
      <c r="E79" s="631"/>
      <c r="F79" s="631"/>
      <c r="G79" s="631"/>
      <c r="H79" s="631"/>
      <c r="I79" s="631"/>
      <c r="J79" s="631"/>
      <c r="K79" s="1291"/>
      <c r="L79" s="1669">
        <f>SUM(C79:K79)</f>
        <v>381</v>
      </c>
      <c r="M79" s="16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s="1646" customFormat="1" ht="0.2" customHeight="1" x14ac:dyDescent="0.2">
      <c r="A80" s="1373"/>
      <c r="B80" s="1374" t="s">
        <v>393</v>
      </c>
      <c r="C80" s="879"/>
      <c r="D80" s="879"/>
      <c r="E80" s="879"/>
      <c r="F80" s="879"/>
      <c r="G80" s="879"/>
      <c r="H80" s="879"/>
      <c r="I80" s="879"/>
      <c r="J80" s="879"/>
      <c r="K80" s="1289"/>
      <c r="L80" s="1670">
        <f>SUM(C80:K80)</f>
        <v>0</v>
      </c>
      <c r="M80" s="16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s="4" customFormat="1" ht="0.2" customHeight="1" x14ac:dyDescent="0.2">
      <c r="A81" s="448"/>
      <c r="B81" s="173" t="s">
        <v>391</v>
      </c>
      <c r="C81" s="255"/>
      <c r="D81" s="255"/>
      <c r="E81" s="255"/>
      <c r="F81" s="255"/>
      <c r="G81" s="255"/>
      <c r="H81" s="255"/>
      <c r="I81" s="255"/>
      <c r="J81" s="255"/>
      <c r="K81" s="1290"/>
      <c r="L81" s="1668">
        <f>SUM(C81:K81)</f>
        <v>0</v>
      </c>
      <c r="M81" s="169"/>
    </row>
    <row r="82" spans="1:53" ht="15" customHeight="1" x14ac:dyDescent="0.2">
      <c r="A82" s="448" t="s">
        <v>298</v>
      </c>
      <c r="B82" s="173" t="s">
        <v>112</v>
      </c>
      <c r="C82" s="255"/>
      <c r="D82" s="255"/>
      <c r="E82" s="255"/>
      <c r="F82" s="255"/>
      <c r="G82" s="255"/>
      <c r="H82" s="255"/>
      <c r="I82" s="255"/>
      <c r="J82" s="255"/>
      <c r="K82" s="1290"/>
      <c r="L82" s="1671"/>
    </row>
    <row r="83" spans="1:53" s="369" customFormat="1" ht="15" customHeight="1" thickBot="1" x14ac:dyDescent="0.25">
      <c r="A83" s="1659"/>
      <c r="B83" s="630" t="s">
        <v>392</v>
      </c>
      <c r="C83" s="631"/>
      <c r="D83" s="631"/>
      <c r="E83" s="631"/>
      <c r="F83" s="631"/>
      <c r="G83" s="631"/>
      <c r="H83" s="631"/>
      <c r="I83" s="631"/>
      <c r="J83" s="631"/>
      <c r="K83" s="1291"/>
      <c r="L83" s="1669">
        <f>SUM(C83:K83)</f>
        <v>0</v>
      </c>
      <c r="M83" s="16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s="1646" customFormat="1" ht="0.2" customHeight="1" x14ac:dyDescent="0.2">
      <c r="A84" s="1373"/>
      <c r="B84" s="1374" t="s">
        <v>393</v>
      </c>
      <c r="C84" s="879"/>
      <c r="D84" s="879"/>
      <c r="E84" s="879"/>
      <c r="F84" s="879"/>
      <c r="G84" s="879"/>
      <c r="H84" s="879"/>
      <c r="I84" s="879"/>
      <c r="J84" s="879"/>
      <c r="K84" s="1289"/>
      <c r="L84" s="1670">
        <f>SUM(C84:K84)</f>
        <v>0</v>
      </c>
      <c r="M84" s="16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s="4" customFormat="1" ht="0.2" customHeight="1" x14ac:dyDescent="0.2">
      <c r="A85" s="448"/>
      <c r="B85" s="173" t="s">
        <v>391</v>
      </c>
      <c r="C85" s="255"/>
      <c r="D85" s="255"/>
      <c r="E85" s="255"/>
      <c r="F85" s="255"/>
      <c r="G85" s="255"/>
      <c r="H85" s="255"/>
      <c r="I85" s="255"/>
      <c r="J85" s="255"/>
      <c r="K85" s="1290"/>
      <c r="L85" s="1668">
        <f>SUM(C85:K85)</f>
        <v>0</v>
      </c>
      <c r="M85" s="169"/>
    </row>
    <row r="86" spans="1:53" ht="15" customHeight="1" x14ac:dyDescent="0.2">
      <c r="A86" s="448" t="s">
        <v>247</v>
      </c>
      <c r="B86" s="173" t="s">
        <v>492</v>
      </c>
      <c r="C86" s="255"/>
      <c r="D86" s="255"/>
      <c r="E86" s="255"/>
      <c r="F86" s="255"/>
      <c r="G86" s="255"/>
      <c r="H86" s="255"/>
      <c r="I86" s="255"/>
      <c r="J86" s="255"/>
      <c r="K86" s="1290"/>
      <c r="L86" s="1671"/>
    </row>
    <row r="87" spans="1:53" s="369" customFormat="1" ht="15" customHeight="1" thickBot="1" x14ac:dyDescent="0.25">
      <c r="A87" s="1659"/>
      <c r="B87" s="630" t="s">
        <v>392</v>
      </c>
      <c r="C87" s="631"/>
      <c r="D87" s="631"/>
      <c r="E87" s="631">
        <f>71840+768</f>
        <v>72608</v>
      </c>
      <c r="F87" s="631"/>
      <c r="G87" s="631"/>
      <c r="H87" s="631"/>
      <c r="I87" s="631"/>
      <c r="J87" s="631"/>
      <c r="K87" s="1291"/>
      <c r="L87" s="1669">
        <f>SUM(C87:K87)</f>
        <v>72608</v>
      </c>
      <c r="M87" s="16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s="1646" customFormat="1" ht="0.2" customHeight="1" x14ac:dyDescent="0.2">
      <c r="A88" s="1373"/>
      <c r="B88" s="1374" t="s">
        <v>393</v>
      </c>
      <c r="C88" s="879"/>
      <c r="D88" s="879"/>
      <c r="E88" s="879"/>
      <c r="F88" s="879"/>
      <c r="G88" s="879"/>
      <c r="H88" s="879"/>
      <c r="I88" s="879"/>
      <c r="J88" s="879"/>
      <c r="K88" s="1289"/>
      <c r="L88" s="1670">
        <f>SUM(C88:K88)</f>
        <v>0</v>
      </c>
      <c r="M88" s="16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s="4" customFormat="1" ht="0.2" customHeight="1" x14ac:dyDescent="0.2">
      <c r="A89" s="448"/>
      <c r="B89" s="173" t="s">
        <v>391</v>
      </c>
      <c r="C89" s="255"/>
      <c r="D89" s="255"/>
      <c r="E89" s="255"/>
      <c r="F89" s="255"/>
      <c r="G89" s="255"/>
      <c r="H89" s="255"/>
      <c r="I89" s="255"/>
      <c r="J89" s="255"/>
      <c r="K89" s="1290"/>
      <c r="L89" s="1668">
        <f>SUM(C89:K89)</f>
        <v>0</v>
      </c>
      <c r="M89" s="169"/>
    </row>
    <row r="90" spans="1:53" ht="15" customHeight="1" x14ac:dyDescent="0.2">
      <c r="A90" s="448" t="s">
        <v>249</v>
      </c>
      <c r="B90" s="173" t="s">
        <v>493</v>
      </c>
      <c r="C90" s="255"/>
      <c r="D90" s="255"/>
      <c r="E90" s="255"/>
      <c r="F90" s="255"/>
      <c r="G90" s="255"/>
      <c r="H90" s="255"/>
      <c r="I90" s="255"/>
      <c r="J90" s="255"/>
      <c r="K90" s="1290"/>
      <c r="L90" s="1671"/>
    </row>
    <row r="91" spans="1:53" s="369" customFormat="1" ht="15" customHeight="1" thickBot="1" x14ac:dyDescent="0.25">
      <c r="A91" s="1659"/>
      <c r="B91" s="630" t="s">
        <v>392</v>
      </c>
      <c r="C91" s="631"/>
      <c r="D91" s="631"/>
      <c r="E91" s="631">
        <v>11546</v>
      </c>
      <c r="F91" s="631"/>
      <c r="G91" s="631"/>
      <c r="H91" s="631"/>
      <c r="I91" s="631"/>
      <c r="J91" s="631"/>
      <c r="K91" s="1291"/>
      <c r="L91" s="1669">
        <f>SUM(C91:K91)</f>
        <v>11546</v>
      </c>
      <c r="M91" s="16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s="1646" customFormat="1" ht="0.2" customHeight="1" x14ac:dyDescent="0.2">
      <c r="A92" s="1373"/>
      <c r="B92" s="1374" t="s">
        <v>393</v>
      </c>
      <c r="C92" s="879"/>
      <c r="D92" s="879"/>
      <c r="E92" s="879"/>
      <c r="F92" s="879"/>
      <c r="G92" s="879"/>
      <c r="H92" s="879"/>
      <c r="I92" s="879"/>
      <c r="J92" s="879"/>
      <c r="K92" s="1289"/>
      <c r="L92" s="1670">
        <f>SUM(E92:K92)</f>
        <v>0</v>
      </c>
      <c r="M92" s="16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s="4" customFormat="1" ht="0.2" customHeight="1" x14ac:dyDescent="0.2">
      <c r="A93" s="448"/>
      <c r="B93" s="173" t="s">
        <v>391</v>
      </c>
      <c r="C93" s="255"/>
      <c r="D93" s="255"/>
      <c r="E93" s="255"/>
      <c r="F93" s="255"/>
      <c r="G93" s="255"/>
      <c r="H93" s="255"/>
      <c r="I93" s="255"/>
      <c r="J93" s="255"/>
      <c r="K93" s="1290"/>
      <c r="L93" s="1668">
        <f>SUM(E93:K93)</f>
        <v>0</v>
      </c>
      <c r="M93" s="169"/>
    </row>
    <row r="94" spans="1:53" ht="15" customHeight="1" x14ac:dyDescent="0.2">
      <c r="A94" s="674" t="s">
        <v>315</v>
      </c>
      <c r="B94" s="678" t="s">
        <v>316</v>
      </c>
      <c r="C94" s="255"/>
      <c r="D94" s="255"/>
      <c r="E94" s="255"/>
      <c r="F94" s="255"/>
      <c r="G94" s="255"/>
      <c r="H94" s="255"/>
      <c r="I94" s="255"/>
      <c r="J94" s="255"/>
      <c r="K94" s="1290"/>
      <c r="L94" s="1671"/>
    </row>
    <row r="95" spans="1:53" s="369" customFormat="1" ht="15" customHeight="1" thickBot="1" x14ac:dyDescent="0.25">
      <c r="A95" s="689"/>
      <c r="B95" s="686" t="s">
        <v>392</v>
      </c>
      <c r="C95" s="631"/>
      <c r="D95" s="631"/>
      <c r="E95" s="631"/>
      <c r="F95" s="631"/>
      <c r="G95" s="631"/>
      <c r="H95" s="631"/>
      <c r="I95" s="631"/>
      <c r="J95" s="631"/>
      <c r="K95" s="1291"/>
      <c r="L95" s="1672"/>
      <c r="M95" s="16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s="1646" customFormat="1" ht="0.2" customHeight="1" x14ac:dyDescent="0.2">
      <c r="A96" s="1653"/>
      <c r="B96" s="1648" t="s">
        <v>393</v>
      </c>
      <c r="C96" s="879"/>
      <c r="D96" s="879"/>
      <c r="E96" s="879"/>
      <c r="F96" s="879"/>
      <c r="G96" s="879"/>
      <c r="H96" s="879"/>
      <c r="I96" s="879"/>
      <c r="J96" s="879"/>
      <c r="K96" s="1289"/>
      <c r="L96" s="1670"/>
      <c r="M96" s="16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s="4" customFormat="1" ht="0.2" customHeight="1" x14ac:dyDescent="0.2">
      <c r="A97" s="674"/>
      <c r="B97" s="457" t="s">
        <v>391</v>
      </c>
      <c r="C97" s="255"/>
      <c r="D97" s="255"/>
      <c r="E97" s="255"/>
      <c r="F97" s="255"/>
      <c r="G97" s="255"/>
      <c r="H97" s="255"/>
      <c r="I97" s="255"/>
      <c r="J97" s="255"/>
      <c r="K97" s="1290"/>
      <c r="L97" s="1671">
        <f>SUM(C97:K97)</f>
        <v>0</v>
      </c>
      <c r="M97" s="169"/>
    </row>
    <row r="98" spans="1:53" ht="15" customHeight="1" x14ac:dyDescent="0.2">
      <c r="A98" s="448" t="s">
        <v>426</v>
      </c>
      <c r="B98" s="173" t="s">
        <v>441</v>
      </c>
      <c r="C98" s="255"/>
      <c r="D98" s="255"/>
      <c r="E98" s="255"/>
      <c r="F98" s="255"/>
      <c r="G98" s="255"/>
      <c r="H98" s="255"/>
      <c r="I98" s="255"/>
      <c r="J98" s="255"/>
      <c r="K98" s="1290"/>
      <c r="L98" s="1671"/>
    </row>
    <row r="99" spans="1:53" s="369" customFormat="1" ht="15" customHeight="1" thickBot="1" x14ac:dyDescent="0.25">
      <c r="A99" s="1659"/>
      <c r="B99" s="630" t="s">
        <v>392</v>
      </c>
      <c r="C99" s="631">
        <v>18409</v>
      </c>
      <c r="D99" s="631"/>
      <c r="E99" s="631">
        <v>22168</v>
      </c>
      <c r="F99" s="631"/>
      <c r="G99" s="631"/>
      <c r="H99" s="631"/>
      <c r="I99" s="631"/>
      <c r="J99" s="631"/>
      <c r="K99" s="1291"/>
      <c r="L99" s="1669">
        <f>SUM(C99:K99)</f>
        <v>40577</v>
      </c>
      <c r="M99" s="16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s="1646" customFormat="1" ht="0.2" customHeight="1" x14ac:dyDescent="0.2">
      <c r="A100" s="1373"/>
      <c r="B100" s="1374" t="s">
        <v>393</v>
      </c>
      <c r="C100" s="879"/>
      <c r="D100" s="879"/>
      <c r="E100" s="879"/>
      <c r="F100" s="879"/>
      <c r="G100" s="879"/>
      <c r="H100" s="879"/>
      <c r="I100" s="879"/>
      <c r="J100" s="879"/>
      <c r="K100" s="1289"/>
      <c r="L100" s="1670">
        <f>SUM(C100:K100)</f>
        <v>0</v>
      </c>
      <c r="M100" s="16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s="4" customFormat="1" ht="0.75" customHeight="1" x14ac:dyDescent="0.2">
      <c r="A101" s="448"/>
      <c r="B101" s="173" t="s">
        <v>391</v>
      </c>
      <c r="C101" s="255"/>
      <c r="D101" s="255"/>
      <c r="E101" s="255"/>
      <c r="F101" s="255"/>
      <c r="G101" s="255"/>
      <c r="H101" s="255"/>
      <c r="I101" s="255"/>
      <c r="J101" s="255"/>
      <c r="K101" s="1290"/>
      <c r="L101" s="1668">
        <f>SUM(C101:K101)</f>
        <v>0</v>
      </c>
      <c r="M101" s="169"/>
    </row>
    <row r="102" spans="1:53" s="4" customFormat="1" ht="13.5" customHeight="1" x14ac:dyDescent="0.2">
      <c r="A102" s="448" t="s">
        <v>593</v>
      </c>
      <c r="B102" s="173" t="s">
        <v>594</v>
      </c>
      <c r="C102" s="255"/>
      <c r="D102" s="255"/>
      <c r="E102" s="255"/>
      <c r="F102" s="255"/>
      <c r="G102" s="255"/>
      <c r="H102" s="255"/>
      <c r="I102" s="255"/>
      <c r="J102" s="255"/>
      <c r="K102" s="1290"/>
      <c r="L102" s="1671"/>
      <c r="M102" s="169"/>
    </row>
    <row r="103" spans="1:53" s="4" customFormat="1" ht="13.5" customHeight="1" thickBot="1" x14ac:dyDescent="0.25">
      <c r="A103" s="1659"/>
      <c r="B103" s="630" t="s">
        <v>392</v>
      </c>
      <c r="C103" s="631"/>
      <c r="D103" s="631"/>
      <c r="E103" s="631">
        <v>225</v>
      </c>
      <c r="F103" s="631"/>
      <c r="G103" s="631"/>
      <c r="H103" s="631"/>
      <c r="I103" s="631"/>
      <c r="J103" s="631"/>
      <c r="K103" s="1291"/>
      <c r="L103" s="1775">
        <f>SUM(C103:K103)</f>
        <v>225</v>
      </c>
      <c r="M103" s="169"/>
    </row>
    <row r="104" spans="1:53" ht="15" customHeight="1" x14ac:dyDescent="0.2">
      <c r="A104" s="1772" t="s">
        <v>284</v>
      </c>
      <c r="B104" s="1773" t="s">
        <v>117</v>
      </c>
      <c r="C104" s="1521"/>
      <c r="D104" s="1521"/>
      <c r="E104" s="1521"/>
      <c r="F104" s="1521"/>
      <c r="G104" s="1521"/>
      <c r="H104" s="1521"/>
      <c r="I104" s="1521"/>
      <c r="J104" s="1521"/>
      <c r="K104" s="1774"/>
      <c r="L104" s="1671"/>
    </row>
    <row r="105" spans="1:53" s="369" customFormat="1" ht="15" customHeight="1" thickBot="1" x14ac:dyDescent="0.25">
      <c r="A105" s="1659"/>
      <c r="B105" s="630" t="s">
        <v>392</v>
      </c>
      <c r="C105" s="631"/>
      <c r="D105" s="631"/>
      <c r="E105" s="631"/>
      <c r="F105" s="631"/>
      <c r="G105" s="631"/>
      <c r="H105" s="631"/>
      <c r="I105" s="631"/>
      <c r="J105" s="631"/>
      <c r="K105" s="1291"/>
      <c r="L105" s="1669">
        <f>SUM(C105:K105)</f>
        <v>0</v>
      </c>
      <c r="M105" s="16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1646" customFormat="1" ht="0.2" customHeight="1" x14ac:dyDescent="0.2">
      <c r="A106" s="1373"/>
      <c r="B106" s="1374" t="s">
        <v>393</v>
      </c>
      <c r="C106" s="879"/>
      <c r="D106" s="879"/>
      <c r="E106" s="879"/>
      <c r="F106" s="879"/>
      <c r="G106" s="879"/>
      <c r="H106" s="879"/>
      <c r="I106" s="879"/>
      <c r="J106" s="879"/>
      <c r="K106" s="1289"/>
      <c r="L106" s="1670">
        <f>SUM(C106:K106)</f>
        <v>0</v>
      </c>
      <c r="M106" s="16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4" customFormat="1" ht="0.2" customHeight="1" x14ac:dyDescent="0.2">
      <c r="A107" s="427"/>
      <c r="B107" s="173" t="s">
        <v>391</v>
      </c>
      <c r="C107" s="255"/>
      <c r="D107" s="255"/>
      <c r="E107" s="255"/>
      <c r="F107" s="255"/>
      <c r="G107" s="255"/>
      <c r="H107" s="255"/>
      <c r="I107" s="255"/>
      <c r="J107" s="255"/>
      <c r="K107" s="1290"/>
      <c r="L107" s="1668">
        <f>SUM(C107:K107)</f>
        <v>0</v>
      </c>
      <c r="M107" s="169"/>
    </row>
    <row r="108" spans="1:53" ht="15" customHeight="1" x14ac:dyDescent="0.2">
      <c r="A108" s="427" t="s">
        <v>285</v>
      </c>
      <c r="B108" s="173" t="s">
        <v>490</v>
      </c>
      <c r="C108" s="255"/>
      <c r="D108" s="255"/>
      <c r="E108" s="255"/>
      <c r="F108" s="255"/>
      <c r="G108" s="255"/>
      <c r="H108" s="255"/>
      <c r="I108" s="255"/>
      <c r="J108" s="255"/>
      <c r="K108" s="1290"/>
      <c r="L108" s="1671"/>
    </row>
    <row r="109" spans="1:53" s="369" customFormat="1" ht="15" customHeight="1" thickBot="1" x14ac:dyDescent="0.25">
      <c r="A109" s="449"/>
      <c r="B109" s="630" t="s">
        <v>392</v>
      </c>
      <c r="C109" s="631"/>
      <c r="D109" s="631"/>
      <c r="E109" s="631"/>
      <c r="F109" s="631"/>
      <c r="G109" s="631"/>
      <c r="H109" s="631"/>
      <c r="I109" s="631"/>
      <c r="J109" s="631"/>
      <c r="K109" s="1291"/>
      <c r="L109" s="1669"/>
      <c r="M109" s="16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s="1646" customFormat="1" ht="0.2" customHeight="1" x14ac:dyDescent="0.2">
      <c r="A110" s="1655"/>
      <c r="B110" s="1374" t="s">
        <v>393</v>
      </c>
      <c r="C110" s="879"/>
      <c r="D110" s="879"/>
      <c r="E110" s="879"/>
      <c r="F110" s="879"/>
      <c r="G110" s="879"/>
      <c r="H110" s="879"/>
      <c r="I110" s="879"/>
      <c r="J110" s="879"/>
      <c r="K110" s="1289"/>
      <c r="L110" s="1670">
        <f>SUM(C110:K110)</f>
        <v>0</v>
      </c>
      <c r="M110" s="16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s="4" customFormat="1" ht="0.2" customHeight="1" x14ac:dyDescent="0.2">
      <c r="A111" s="427"/>
      <c r="B111" s="173" t="s">
        <v>391</v>
      </c>
      <c r="C111" s="255"/>
      <c r="D111" s="255"/>
      <c r="E111" s="255"/>
      <c r="F111" s="255"/>
      <c r="G111" s="255"/>
      <c r="H111" s="255"/>
      <c r="I111" s="255"/>
      <c r="J111" s="255"/>
      <c r="K111" s="1290"/>
      <c r="L111" s="1668">
        <f>SUM(C111:K111)</f>
        <v>0</v>
      </c>
      <c r="M111" s="169"/>
    </row>
    <row r="112" spans="1:53" ht="15" customHeight="1" x14ac:dyDescent="0.2">
      <c r="A112" s="427" t="s">
        <v>287</v>
      </c>
      <c r="B112" s="173" t="s">
        <v>494</v>
      </c>
      <c r="C112" s="255"/>
      <c r="D112" s="255"/>
      <c r="E112" s="255"/>
      <c r="F112" s="255"/>
      <c r="G112" s="255"/>
      <c r="H112" s="255"/>
      <c r="I112" s="255"/>
      <c r="J112" s="255"/>
      <c r="K112" s="1290"/>
      <c r="L112" s="1671"/>
    </row>
    <row r="113" spans="1:53" s="369" customFormat="1" ht="15" customHeight="1" thickBot="1" x14ac:dyDescent="0.25">
      <c r="A113" s="449"/>
      <c r="B113" s="630" t="s">
        <v>392</v>
      </c>
      <c r="C113" s="631"/>
      <c r="D113" s="631"/>
      <c r="E113" s="631"/>
      <c r="F113" s="631"/>
      <c r="G113" s="631"/>
      <c r="H113" s="631"/>
      <c r="I113" s="631"/>
      <c r="J113" s="631"/>
      <c r="K113" s="1291"/>
      <c r="L113" s="1669"/>
      <c r="M113" s="16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646" customFormat="1" ht="0.2" customHeight="1" x14ac:dyDescent="0.2">
      <c r="A114" s="1655"/>
      <c r="B114" s="1374" t="s">
        <v>393</v>
      </c>
      <c r="C114" s="879"/>
      <c r="D114" s="879"/>
      <c r="E114" s="879"/>
      <c r="F114" s="879"/>
      <c r="G114" s="879"/>
      <c r="H114" s="879"/>
      <c r="I114" s="879"/>
      <c r="J114" s="879"/>
      <c r="K114" s="1289"/>
      <c r="L114" s="1670">
        <f>SUM(E114:K114)</f>
        <v>0</v>
      </c>
      <c r="M114" s="16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s="4" customFormat="1" ht="0.2" customHeight="1" x14ac:dyDescent="0.2">
      <c r="A115" s="427"/>
      <c r="B115" s="173" t="s">
        <v>391</v>
      </c>
      <c r="C115" s="255"/>
      <c r="D115" s="255"/>
      <c r="E115" s="255"/>
      <c r="F115" s="255"/>
      <c r="G115" s="255"/>
      <c r="H115" s="255"/>
      <c r="I115" s="255"/>
      <c r="J115" s="255"/>
      <c r="K115" s="1290"/>
      <c r="L115" s="1668">
        <f>SUM(E115:K115)</f>
        <v>0</v>
      </c>
      <c r="M115" s="169"/>
    </row>
    <row r="116" spans="1:53" ht="15" customHeight="1" x14ac:dyDescent="0.2">
      <c r="A116" s="427" t="s">
        <v>289</v>
      </c>
      <c r="B116" s="173" t="s">
        <v>489</v>
      </c>
      <c r="C116" s="255"/>
      <c r="D116" s="255"/>
      <c r="E116" s="255"/>
      <c r="F116" s="255"/>
      <c r="G116" s="255"/>
      <c r="H116" s="255"/>
      <c r="I116" s="255"/>
      <c r="J116" s="255"/>
      <c r="K116" s="1290"/>
      <c r="L116" s="1671"/>
    </row>
    <row r="117" spans="1:53" s="369" customFormat="1" ht="15" customHeight="1" thickBot="1" x14ac:dyDescent="0.25">
      <c r="A117" s="449"/>
      <c r="B117" s="630" t="s">
        <v>392</v>
      </c>
      <c r="C117" s="631"/>
      <c r="D117" s="631"/>
      <c r="E117" s="631"/>
      <c r="F117" s="631"/>
      <c r="G117" s="631"/>
      <c r="H117" s="631"/>
      <c r="I117" s="631"/>
      <c r="J117" s="631"/>
      <c r="K117" s="1291"/>
      <c r="L117" s="1669"/>
      <c r="M117" s="16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s="1646" customFormat="1" ht="0.2" customHeight="1" x14ac:dyDescent="0.2">
      <c r="A118" s="1655"/>
      <c r="B118" s="1374" t="s">
        <v>393</v>
      </c>
      <c r="C118" s="879"/>
      <c r="D118" s="879"/>
      <c r="E118" s="879"/>
      <c r="F118" s="879"/>
      <c r="G118" s="879"/>
      <c r="H118" s="879"/>
      <c r="I118" s="879"/>
      <c r="J118" s="879"/>
      <c r="K118" s="1289"/>
      <c r="L118" s="1670">
        <f>SUM(E118:K118)</f>
        <v>0</v>
      </c>
      <c r="M118" s="16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s="4" customFormat="1" ht="0.2" customHeight="1" x14ac:dyDescent="0.2">
      <c r="A119" s="427"/>
      <c r="B119" s="173" t="s">
        <v>391</v>
      </c>
      <c r="C119" s="255"/>
      <c r="D119" s="255"/>
      <c r="E119" s="255"/>
      <c r="F119" s="255"/>
      <c r="G119" s="255"/>
      <c r="H119" s="255"/>
      <c r="I119" s="255"/>
      <c r="J119" s="255"/>
      <c r="K119" s="1290"/>
      <c r="L119" s="1668">
        <f>SUM(E119:K119)</f>
        <v>0</v>
      </c>
      <c r="M119" s="169"/>
    </row>
    <row r="120" spans="1:53" ht="15" customHeight="1" x14ac:dyDescent="0.2">
      <c r="A120" s="674" t="s">
        <v>299</v>
      </c>
      <c r="B120" s="678" t="s">
        <v>86</v>
      </c>
      <c r="C120" s="255"/>
      <c r="D120" s="255"/>
      <c r="E120" s="255"/>
      <c r="F120" s="255"/>
      <c r="G120" s="255"/>
      <c r="H120" s="255"/>
      <c r="I120" s="255"/>
      <c r="J120" s="255"/>
      <c r="K120" s="1290"/>
      <c r="L120" s="1671"/>
    </row>
    <row r="121" spans="1:53" s="369" customFormat="1" ht="15" customHeight="1" thickBot="1" x14ac:dyDescent="0.25">
      <c r="A121" s="689"/>
      <c r="B121" s="686" t="s">
        <v>392</v>
      </c>
      <c r="C121" s="631"/>
      <c r="D121" s="631"/>
      <c r="E121" s="631"/>
      <c r="F121" s="631"/>
      <c r="G121" s="631"/>
      <c r="H121" s="631"/>
      <c r="I121" s="631"/>
      <c r="J121" s="631"/>
      <c r="K121" s="1291"/>
      <c r="L121" s="1669"/>
      <c r="M121" s="16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s="1646" customFormat="1" ht="0.2" customHeight="1" x14ac:dyDescent="0.2">
      <c r="A122" s="1653"/>
      <c r="B122" s="1648" t="s">
        <v>393</v>
      </c>
      <c r="C122" s="879"/>
      <c r="D122" s="879"/>
      <c r="E122" s="879">
        <v>165</v>
      </c>
      <c r="F122" s="879"/>
      <c r="G122" s="879"/>
      <c r="H122" s="879"/>
      <c r="I122" s="879"/>
      <c r="J122" s="879"/>
      <c r="K122" s="1289"/>
      <c r="L122" s="1670">
        <f>SUM(E122:K122)</f>
        <v>165</v>
      </c>
      <c r="M122" s="16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s="4" customFormat="1" ht="0.2" customHeight="1" thickBot="1" x14ac:dyDescent="0.25">
      <c r="A123" s="449"/>
      <c r="B123" s="630" t="s">
        <v>391</v>
      </c>
      <c r="C123" s="631"/>
      <c r="D123" s="631"/>
      <c r="E123" s="631"/>
      <c r="F123" s="631"/>
      <c r="G123" s="631"/>
      <c r="H123" s="631"/>
      <c r="I123" s="631"/>
      <c r="J123" s="631"/>
      <c r="K123" s="1291"/>
      <c r="L123" s="1668">
        <f>SUM(E123:K123)</f>
        <v>0</v>
      </c>
      <c r="M123" s="169"/>
    </row>
    <row r="124" spans="1:53" s="162" customFormat="1" ht="21" x14ac:dyDescent="0.15">
      <c r="A124" s="1091"/>
      <c r="B124" s="1092" t="s">
        <v>99</v>
      </c>
      <c r="C124" s="1093"/>
      <c r="D124" s="1093"/>
      <c r="E124" s="1093"/>
      <c r="F124" s="1093"/>
      <c r="G124" s="1093"/>
      <c r="H124" s="1093"/>
      <c r="I124" s="1093"/>
      <c r="J124" s="1093"/>
      <c r="K124" s="1096"/>
      <c r="L124" s="1671"/>
      <c r="M124" s="1677"/>
      <c r="N124" s="163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</row>
    <row r="125" spans="1:53" s="369" customFormat="1" ht="13.5" thickBot="1" x14ac:dyDescent="0.25">
      <c r="A125" s="632"/>
      <c r="B125" s="1259" t="s">
        <v>392</v>
      </c>
      <c r="C125" s="1665">
        <f>C7+C15+C19+C23+C35+C39+C43+C47+C51+C55+C59+C63+C67+C83+C99+C105+C79+C11</f>
        <v>60363</v>
      </c>
      <c r="D125" s="1665">
        <f>D7+D15+D19+D23+D35+D39+D43+D47+D51+D55+D59+D63+D67+D83+D99+D105</f>
        <v>548194</v>
      </c>
      <c r="E125" s="1665">
        <f>E7+E15+E19+E23+E35+E39+E43+E47+E51+E55+E59+E63+E67+E83+E99+E105+E103+E91+E87+E75+E71</f>
        <v>113279</v>
      </c>
      <c r="F125" s="1665">
        <f>F7+F15+F19+F23+F35+F39+F43+F47+F51+F55+F59+F63+F67+F83+F99+F105+F31</f>
        <v>19205</v>
      </c>
      <c r="G125" s="1665">
        <f>G7+G15+G19+G23+G35+G39+G43+G47+G51+G55+G59+G63+G67+G83+G99+G105</f>
        <v>240017</v>
      </c>
      <c r="H125" s="1665">
        <f>H7+H15+H19+H23+H35+H39+H43+H47+H51+H55+H59+H63+H67+H83+H99+H105+H11</f>
        <v>0</v>
      </c>
      <c r="I125" s="1665">
        <f>I7+I15+I19+I23+I35+I39+I43+I47+I51+I55+I59+I63+I67+I83+I99+I105</f>
        <v>30430</v>
      </c>
      <c r="J125" s="1665">
        <f>J7+J15+J19+J23+J35+J39+J43+J47+J51+J55+J59+J63+J67+J83+J99+J105</f>
        <v>350000</v>
      </c>
      <c r="K125" s="1666">
        <f>K7+K15+K19+K23+K35+K39+K43+K47+K51+K55+K59+K63+K67+K83+K99+K105</f>
        <v>100000</v>
      </c>
      <c r="L125" s="1673">
        <f>L7+L15+L19+L23+L35+L39+L43+L47+L51+L55+L59+L63+L67+L83+L99+L105+L79+L11+L121+L113+L103+L95+L91+L87+L75+L71++L31+L27</f>
        <v>1461488</v>
      </c>
      <c r="M125" s="169"/>
      <c r="N125" s="205">
        <f>SUM(C125:K125)</f>
        <v>1461488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s="1646" customFormat="1" ht="0.2" customHeight="1" x14ac:dyDescent="0.2">
      <c r="A126" s="1656"/>
      <c r="B126" s="967" t="s">
        <v>393</v>
      </c>
      <c r="C126" s="1657">
        <f>SUM(C106+C100+C84+C68+C60+C64+C56+C52+C48+C44+C40+C36+C24+C20+C16+C12+C8+C80)</f>
        <v>0</v>
      </c>
      <c r="D126" s="1657">
        <f>D8+D16+D20+D24+D36+D40+D44+D48+D52+D56+D60+D64+D68+D84+D100+D106</f>
        <v>0</v>
      </c>
      <c r="E126" s="1657">
        <f>E8+E16+E20+E24+E36+E40+E44+E48+E52+E56+E60+E64+E68+E84+E100+E106+E122+E118+E114+E110+E92+E88+E80+E76+E72+E32+E12+E28</f>
        <v>165</v>
      </c>
      <c r="F126" s="1657">
        <f>F8+F16+F20+F24+F36+F40+F44+F48+F52+F56+F60+F64+F68+F84+F100+F106+F110+F32</f>
        <v>0</v>
      </c>
      <c r="G126" s="1657">
        <f>G8+G16+G20+G24+G36+G40+G44+G48+G52+G56+G60+G64+G68+G84+G100+G106</f>
        <v>0</v>
      </c>
      <c r="H126" s="1657">
        <f>H8+H16+H20+H24+H36+H40+H44+H48+H52+H56+H60+H64+H68+H84+H100+H106+H12</f>
        <v>0</v>
      </c>
      <c r="I126" s="1657">
        <f>I8+I16+I20+I24+I36+I40+I44+I48+I52+I56+I60+I64+I68+I84+I100+I106</f>
        <v>0</v>
      </c>
      <c r="J126" s="1657">
        <f>J8+J16+J20+J24+J36+J40+J44+J48+J52+J56+J60+J64+J68+J84+J100+J106</f>
        <v>0</v>
      </c>
      <c r="K126" s="1658">
        <f>K8+K16+K20+K24+K36+K40+K44+K48+K52+K56+K60+K64+K68+K84+K100+K106+K12</f>
        <v>0</v>
      </c>
      <c r="L126" s="1674">
        <f>SUM(L106+L100+L84+L68+L64+L60+L56+L52+L48+L44+L40+L36+L24+L20+L16+L12+L8+L80+L28+L32+L72+L76+L88+L92+L110+L114+L118+L122)</f>
        <v>165</v>
      </c>
      <c r="M126" s="169"/>
      <c r="N126" s="205">
        <f>SUM(C126:K126)</f>
        <v>165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s="4" customFormat="1" ht="0.2" customHeight="1" x14ac:dyDescent="0.2">
      <c r="A127" s="1257"/>
      <c r="B127" s="1258" t="s">
        <v>391</v>
      </c>
      <c r="C127" s="1295">
        <f>SUM(C107+C101+C85+C69+C61+C65+C57+C53+C49+C45+C41+C37+C25+C21+C17+C13+C9+C81+C97)</f>
        <v>0</v>
      </c>
      <c r="D127" s="1295">
        <f>D9+D17+D21+D25+D37+D41+D45+D49+D53+D57+D61+D65+D69+D85+D101+D107+D13</f>
        <v>0</v>
      </c>
      <c r="E127" s="1295">
        <f>E9+E17+E21+E25+E37+E41+E45+E49+E53+E57+E61+E65+E69+E85+E101+E107+E123+E119+E115+E111+E93+E89+E81+E77+E73+E33+E13+E29</f>
        <v>0</v>
      </c>
      <c r="F127" s="1295">
        <f>F9+F17+F21+F25+F37+F41+F45+F49+F53+F57+F61+F65+F69+F85+F101+F107+F111+F33+F13</f>
        <v>0</v>
      </c>
      <c r="G127" s="1295">
        <f>SUM(G45+G17+G13)</f>
        <v>0</v>
      </c>
      <c r="H127" s="1295">
        <f>H9+H17+H21+H25+H37+H41+H45+H49+H53+H57+H61+H65+H69+H85+H101+H107+H13</f>
        <v>0</v>
      </c>
      <c r="I127" s="1295">
        <f>I9+I17+I21+I25+I37+I41+I45+I49+I53+I57+I61+I65+I69+I85+I101+I107</f>
        <v>0</v>
      </c>
      <c r="J127" s="1295">
        <f>J9+J17+J21+J25+J37+J41+J45+J49+J53+J57+J61+J65+J69+J85+J101+J107</f>
        <v>0</v>
      </c>
      <c r="K127" s="1296">
        <f>K9+K17+K21+K25+K37+K41+K45+K49+K53+K57+K61+K65+K69+K85+K101+K107+K13</f>
        <v>0</v>
      </c>
      <c r="L127" s="1675">
        <f>SUM(L107+L101+L85+L69+L65+L61+L57+L53+L49+L45+L41+L37+L25+L21+L17+L13+L9+L81+L29+L33+L73+L77+L89+L93+L111+L115+L119+L123+L97)</f>
        <v>0</v>
      </c>
      <c r="M127" s="169"/>
      <c r="N127" s="205">
        <f>SUM(C127:K127)</f>
        <v>0</v>
      </c>
    </row>
    <row r="128" spans="1:53" s="4" customFormat="1" ht="0.2" customHeight="1" thickBot="1" x14ac:dyDescent="0.25">
      <c r="A128" s="632"/>
      <c r="B128" s="1259" t="s">
        <v>502</v>
      </c>
      <c r="C128" s="1260" t="e">
        <f>SUM(C127/C126)</f>
        <v>#DIV/0!</v>
      </c>
      <c r="D128" s="1260" t="e">
        <f t="shared" ref="D128:L128" si="0">SUM(D127/D126)</f>
        <v>#DIV/0!</v>
      </c>
      <c r="E128" s="1260">
        <f t="shared" si="0"/>
        <v>0</v>
      </c>
      <c r="F128" s="1260" t="e">
        <f t="shared" si="0"/>
        <v>#DIV/0!</v>
      </c>
      <c r="G128" s="1260" t="e">
        <f t="shared" si="0"/>
        <v>#DIV/0!</v>
      </c>
      <c r="H128" s="1260" t="e">
        <f t="shared" si="0"/>
        <v>#DIV/0!</v>
      </c>
      <c r="I128" s="1260" t="e">
        <f t="shared" si="0"/>
        <v>#DIV/0!</v>
      </c>
      <c r="J128" s="1260" t="e">
        <f t="shared" si="0"/>
        <v>#DIV/0!</v>
      </c>
      <c r="K128" s="1260" t="e">
        <f t="shared" si="0"/>
        <v>#DIV/0!</v>
      </c>
      <c r="L128" s="1676">
        <f t="shared" si="0"/>
        <v>0</v>
      </c>
      <c r="M128" s="169"/>
    </row>
    <row r="129" spans="1:13" x14ac:dyDescent="0.2">
      <c r="A129" s="434"/>
      <c r="B129" s="69"/>
      <c r="C129" s="59"/>
      <c r="D129" s="59"/>
      <c r="E129" s="59"/>
      <c r="F129" s="59"/>
      <c r="G129" s="59"/>
      <c r="H129" s="59"/>
      <c r="I129" s="59"/>
      <c r="J129" s="59"/>
      <c r="K129" s="59"/>
      <c r="L129" s="1646"/>
      <c r="M129" s="4"/>
    </row>
    <row r="130" spans="1:13" x14ac:dyDescent="0.2">
      <c r="A130" s="450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4"/>
      <c r="M130" s="4"/>
    </row>
    <row r="131" spans="1:13" x14ac:dyDescent="0.2">
      <c r="A131" s="451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4"/>
      <c r="M131" s="4"/>
    </row>
    <row r="132" spans="1:13" x14ac:dyDescent="0.2">
      <c r="A132" s="434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4"/>
      <c r="M132" s="4"/>
    </row>
    <row r="133" spans="1:13" x14ac:dyDescent="0.2">
      <c r="A133" s="43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4"/>
      <c r="M133" s="4"/>
    </row>
    <row r="134" spans="1:13" x14ac:dyDescent="0.2">
      <c r="A134" s="452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4"/>
      <c r="M134" s="4"/>
    </row>
    <row r="135" spans="1:13" x14ac:dyDescent="0.2">
      <c r="A135" s="452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4"/>
      <c r="M135" s="4"/>
    </row>
    <row r="136" spans="1:13" x14ac:dyDescent="0.2">
      <c r="A136" s="434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4"/>
      <c r="M136" s="4"/>
    </row>
    <row r="137" spans="1:13" x14ac:dyDescent="0.2">
      <c r="A137" s="435"/>
      <c r="B137" s="66"/>
      <c r="C137" s="67"/>
      <c r="D137" s="67"/>
      <c r="E137" s="67"/>
      <c r="F137" s="67"/>
      <c r="G137" s="67"/>
      <c r="H137" s="67"/>
      <c r="I137" s="67"/>
      <c r="J137" s="67"/>
      <c r="K137" s="67"/>
      <c r="L137" s="4"/>
      <c r="M137" s="4"/>
    </row>
    <row r="138" spans="1:13" x14ac:dyDescent="0.2">
      <c r="A138" s="434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4"/>
      <c r="M138" s="4"/>
    </row>
    <row r="139" spans="1:13" x14ac:dyDescent="0.2">
      <c r="A139" s="434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4"/>
      <c r="M139" s="4"/>
    </row>
    <row r="140" spans="1:13" x14ac:dyDescent="0.2">
      <c r="A140" s="434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4"/>
      <c r="M140" s="4"/>
    </row>
    <row r="141" spans="1:13" x14ac:dyDescent="0.2">
      <c r="A141" s="435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4"/>
      <c r="M141" s="4"/>
    </row>
    <row r="142" spans="1:13" x14ac:dyDescent="0.2">
      <c r="A142" s="434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4"/>
      <c r="M142" s="4"/>
    </row>
    <row r="143" spans="1:13" x14ac:dyDescent="0.2">
      <c r="A143" s="434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4"/>
      <c r="M143" s="4"/>
    </row>
    <row r="144" spans="1:13" x14ac:dyDescent="0.2">
      <c r="A144" s="435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4"/>
      <c r="M144" s="4"/>
    </row>
    <row r="145" spans="1:13" x14ac:dyDescent="0.2">
      <c r="A145" s="43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43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43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43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43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43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43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43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43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43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43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43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43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43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43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43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43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43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43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43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43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43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43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43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43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43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43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43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43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43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43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43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2:13" x14ac:dyDescent="0.2">
      <c r="L177" s="4"/>
      <c r="M177" s="4"/>
    </row>
    <row r="178" spans="12:13" x14ac:dyDescent="0.2">
      <c r="L178" s="4"/>
      <c r="M178" s="4"/>
    </row>
    <row r="179" spans="12:13" x14ac:dyDescent="0.2">
      <c r="L179" s="4"/>
      <c r="M179" s="4"/>
    </row>
    <row r="180" spans="12:13" x14ac:dyDescent="0.2">
      <c r="L180" s="4"/>
      <c r="M180" s="4"/>
    </row>
    <row r="181" spans="12:13" x14ac:dyDescent="0.2">
      <c r="L181" s="4"/>
      <c r="M181" s="4"/>
    </row>
    <row r="182" spans="12:13" x14ac:dyDescent="0.2">
      <c r="L182" s="4"/>
      <c r="M182" s="4"/>
    </row>
    <row r="183" spans="12:13" x14ac:dyDescent="0.2">
      <c r="L183" s="4"/>
      <c r="M183" s="4"/>
    </row>
    <row r="184" spans="12:13" x14ac:dyDescent="0.2">
      <c r="L184" s="4"/>
      <c r="M184" s="4"/>
    </row>
    <row r="185" spans="12:13" x14ac:dyDescent="0.2">
      <c r="L185" s="4"/>
      <c r="M185" s="4"/>
    </row>
    <row r="186" spans="12:13" x14ac:dyDescent="0.2">
      <c r="L186" s="4"/>
      <c r="M186" s="4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9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I36"/>
  <sheetViews>
    <sheetView topLeftCell="A12" workbookViewId="0">
      <selection activeCell="C1" sqref="A1:F37"/>
    </sheetView>
  </sheetViews>
  <sheetFormatPr defaultColWidth="29.28515625" defaultRowHeight="12.75" x14ac:dyDescent="0.2"/>
  <cols>
    <col min="1" max="1" width="1.140625" style="28" customWidth="1"/>
    <col min="2" max="2" width="0.7109375" style="28" customWidth="1"/>
    <col min="3" max="3" width="42.5703125" style="28" customWidth="1"/>
    <col min="4" max="4" width="42" style="28" customWidth="1"/>
    <col min="5" max="6" width="0.28515625" style="28" customWidth="1"/>
    <col min="7" max="7" width="10.42578125" style="28" customWidth="1"/>
    <col min="8" max="8" width="21.85546875" style="28" customWidth="1"/>
    <col min="9" max="9" width="22.140625" style="28" customWidth="1"/>
    <col min="10" max="16384" width="29.28515625" style="28"/>
  </cols>
  <sheetData>
    <row r="1" spans="1:9" x14ac:dyDescent="0.2">
      <c r="A1" s="129"/>
      <c r="B1" s="129"/>
      <c r="C1" s="129"/>
      <c r="D1" s="129"/>
      <c r="E1" s="129"/>
      <c r="F1" s="129"/>
      <c r="G1" s="129"/>
      <c r="H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</row>
    <row r="3" spans="1:9" ht="13.5" thickBot="1" x14ac:dyDescent="0.25">
      <c r="A3" s="129"/>
      <c r="B3" s="129"/>
      <c r="C3" s="129"/>
      <c r="D3" s="129"/>
      <c r="E3" s="129"/>
      <c r="F3" s="129"/>
      <c r="G3" s="129"/>
      <c r="H3" s="129"/>
    </row>
    <row r="4" spans="1:9" s="13" customFormat="1" ht="31.5" customHeight="1" thickBot="1" x14ac:dyDescent="0.3">
      <c r="A4" s="1935" t="s">
        <v>520</v>
      </c>
      <c r="B4" s="1936"/>
      <c r="C4" s="1936"/>
      <c r="D4" s="1936"/>
      <c r="E4" s="1936"/>
      <c r="F4" s="1937"/>
      <c r="G4" s="864"/>
      <c r="H4" s="130"/>
    </row>
    <row r="5" spans="1:9" s="13" customFormat="1" ht="3" customHeight="1" x14ac:dyDescent="0.25">
      <c r="A5" s="176"/>
      <c r="B5" s="138"/>
      <c r="C5" s="131"/>
      <c r="D5" s="132"/>
      <c r="E5" s="132"/>
      <c r="F5" s="177"/>
      <c r="G5" s="132"/>
      <c r="H5" s="130"/>
    </row>
    <row r="6" spans="1:9" ht="3" customHeight="1" x14ac:dyDescent="0.2">
      <c r="A6" s="178"/>
      <c r="B6" s="135"/>
      <c r="C6" s="133" t="s">
        <v>26</v>
      </c>
      <c r="D6" s="135"/>
      <c r="E6" s="135"/>
      <c r="F6" s="179"/>
      <c r="G6" s="134"/>
      <c r="H6" s="129"/>
    </row>
    <row r="7" spans="1:9" ht="3" customHeight="1" x14ac:dyDescent="0.2">
      <c r="A7" s="178"/>
      <c r="B7" s="135"/>
      <c r="C7" s="133"/>
      <c r="D7" s="134"/>
      <c r="E7" s="134"/>
      <c r="F7" s="179"/>
      <c r="G7" s="134"/>
      <c r="H7" s="129"/>
    </row>
    <row r="8" spans="1:9" ht="3" customHeight="1" x14ac:dyDescent="0.2">
      <c r="A8" s="178"/>
      <c r="B8" s="135"/>
      <c r="C8" s="134" t="s">
        <v>147</v>
      </c>
      <c r="D8" s="29"/>
      <c r="E8" s="29"/>
      <c r="F8" s="179"/>
      <c r="G8" s="134"/>
      <c r="H8" s="129"/>
    </row>
    <row r="9" spans="1:9" ht="3" customHeight="1" x14ac:dyDescent="0.2">
      <c r="A9" s="178"/>
      <c r="B9" s="135"/>
      <c r="C9" s="135"/>
      <c r="D9" s="136"/>
      <c r="E9" s="136"/>
      <c r="F9" s="179"/>
      <c r="G9" s="134"/>
      <c r="H9" s="129"/>
    </row>
    <row r="10" spans="1:9" ht="3" customHeight="1" x14ac:dyDescent="0.2">
      <c r="A10" s="178"/>
      <c r="B10" s="135"/>
      <c r="C10" s="135"/>
      <c r="D10" s="136"/>
      <c r="E10" s="136"/>
      <c r="F10" s="179"/>
      <c r="G10" s="134"/>
      <c r="H10" s="129"/>
    </row>
    <row r="11" spans="1:9" ht="28.5" customHeight="1" thickBot="1" x14ac:dyDescent="0.25">
      <c r="A11" s="178"/>
      <c r="B11" s="135"/>
      <c r="C11" s="135"/>
      <c r="D11" s="633" t="s">
        <v>396</v>
      </c>
      <c r="E11" s="634" t="s">
        <v>400</v>
      </c>
      <c r="F11" s="635"/>
      <c r="G11" s="865"/>
      <c r="H11" s="140"/>
    </row>
    <row r="12" spans="1:9" s="93" customFormat="1" ht="18.75" x14ac:dyDescent="0.3">
      <c r="A12" s="180"/>
      <c r="B12" s="137"/>
      <c r="C12" s="183" t="s">
        <v>236</v>
      </c>
      <c r="D12" s="257"/>
      <c r="E12" s="872"/>
      <c r="F12" s="873"/>
      <c r="G12" s="866"/>
      <c r="H12" s="137"/>
    </row>
    <row r="13" spans="1:9" ht="0.75" customHeight="1" thickBot="1" x14ac:dyDescent="0.3">
      <c r="A13" s="178"/>
      <c r="B13" s="135"/>
      <c r="C13" s="184"/>
      <c r="D13" s="258"/>
      <c r="E13" s="260"/>
      <c r="F13" s="874"/>
      <c r="G13" s="867"/>
      <c r="H13" s="138"/>
    </row>
    <row r="14" spans="1:9" x14ac:dyDescent="0.2">
      <c r="A14" s="178"/>
      <c r="B14" s="135"/>
      <c r="C14" s="185" t="s">
        <v>237</v>
      </c>
      <c r="D14" s="256">
        <v>199</v>
      </c>
      <c r="E14" s="987">
        <v>318</v>
      </c>
      <c r="F14" s="1233">
        <v>318</v>
      </c>
      <c r="G14" s="242"/>
      <c r="H14" s="858"/>
      <c r="I14" s="858"/>
    </row>
    <row r="15" spans="1:9" x14ac:dyDescent="0.2">
      <c r="A15" s="178"/>
      <c r="B15" s="135"/>
      <c r="C15" s="185" t="s">
        <v>164</v>
      </c>
      <c r="D15" s="256">
        <v>71840</v>
      </c>
      <c r="E15" s="987">
        <v>74530</v>
      </c>
      <c r="F15" s="1234">
        <v>56389</v>
      </c>
      <c r="G15" s="242"/>
      <c r="H15" s="858"/>
      <c r="I15" s="858"/>
    </row>
    <row r="16" spans="1:9" x14ac:dyDescent="0.2">
      <c r="A16" s="178"/>
      <c r="B16" s="135"/>
      <c r="C16" s="185" t="s">
        <v>165</v>
      </c>
      <c r="D16" s="256">
        <v>11546</v>
      </c>
      <c r="E16" s="987">
        <v>10990</v>
      </c>
      <c r="F16" s="1234">
        <v>8383</v>
      </c>
      <c r="G16" s="242"/>
      <c r="H16" s="858"/>
      <c r="I16" s="858"/>
    </row>
    <row r="17" spans="1:9" x14ac:dyDescent="0.2">
      <c r="A17" s="178"/>
      <c r="B17" s="135"/>
      <c r="C17" s="350" t="s">
        <v>166</v>
      </c>
      <c r="D17" s="351">
        <v>22393</v>
      </c>
      <c r="E17" s="988">
        <v>21520</v>
      </c>
      <c r="F17" s="1234">
        <v>16355</v>
      </c>
      <c r="G17" s="242"/>
      <c r="H17" s="858"/>
      <c r="I17" s="858"/>
    </row>
    <row r="18" spans="1:9" x14ac:dyDescent="0.2">
      <c r="A18" s="178"/>
      <c r="B18" s="135"/>
      <c r="C18" s="350" t="s">
        <v>442</v>
      </c>
      <c r="D18" s="351">
        <v>768</v>
      </c>
      <c r="E18" s="988">
        <v>704</v>
      </c>
      <c r="F18" s="1234">
        <v>528</v>
      </c>
      <c r="G18" s="242"/>
      <c r="H18" s="858"/>
      <c r="I18" s="858"/>
    </row>
    <row r="19" spans="1:9" x14ac:dyDescent="0.2">
      <c r="A19" s="178"/>
      <c r="B19" s="135"/>
      <c r="C19" s="350" t="s">
        <v>167</v>
      </c>
      <c r="D19" s="351">
        <v>6049</v>
      </c>
      <c r="E19" s="988">
        <v>6400</v>
      </c>
      <c r="F19" s="1234">
        <v>4940</v>
      </c>
      <c r="G19" s="876"/>
      <c r="H19" s="858"/>
      <c r="I19" s="858"/>
    </row>
    <row r="20" spans="1:9" x14ac:dyDescent="0.2">
      <c r="A20" s="178"/>
      <c r="B20" s="135"/>
      <c r="C20" s="185" t="s">
        <v>419</v>
      </c>
      <c r="D20" s="868"/>
      <c r="E20" s="989">
        <v>4475</v>
      </c>
      <c r="F20" s="1234">
        <v>4475</v>
      </c>
      <c r="G20" s="876"/>
      <c r="H20" s="858"/>
      <c r="I20" s="858"/>
    </row>
    <row r="21" spans="1:9" ht="13.5" thickBot="1" x14ac:dyDescent="0.25">
      <c r="A21" s="178"/>
      <c r="B21" s="135"/>
      <c r="C21" s="186" t="s">
        <v>588</v>
      </c>
      <c r="D21" s="1771">
        <v>484</v>
      </c>
      <c r="E21" s="1769"/>
      <c r="F21" s="1770"/>
      <c r="G21" s="876"/>
      <c r="H21" s="858"/>
      <c r="I21" s="858"/>
    </row>
    <row r="22" spans="1:9" ht="15.75" thickBot="1" x14ac:dyDescent="0.3">
      <c r="A22" s="178"/>
      <c r="B22" s="135"/>
      <c r="C22" s="181"/>
      <c r="D22" s="1793">
        <f>SUM(D14:D21)</f>
        <v>113279</v>
      </c>
      <c r="E22" s="991"/>
      <c r="F22" s="1235"/>
      <c r="G22" s="876"/>
      <c r="H22" s="858"/>
      <c r="I22" s="858"/>
    </row>
    <row r="23" spans="1:9" ht="15.75" x14ac:dyDescent="0.25">
      <c r="A23" s="178"/>
      <c r="B23" s="135"/>
      <c r="C23" s="187" t="s">
        <v>468</v>
      </c>
      <c r="D23" s="259"/>
      <c r="E23" s="992"/>
      <c r="F23" s="1236"/>
      <c r="G23" s="877"/>
      <c r="H23" s="139"/>
      <c r="I23" s="878"/>
    </row>
    <row r="24" spans="1:9" ht="15" thickBot="1" x14ac:dyDescent="0.25">
      <c r="A24" s="178"/>
      <c r="B24" s="135"/>
      <c r="C24" s="186" t="s">
        <v>469</v>
      </c>
      <c r="D24" s="869"/>
      <c r="E24" s="990">
        <v>1885</v>
      </c>
      <c r="F24" s="1235">
        <v>1885</v>
      </c>
      <c r="G24" s="139"/>
      <c r="H24" s="139"/>
    </row>
    <row r="25" spans="1:9" ht="15" thickBot="1" x14ac:dyDescent="0.25">
      <c r="A25" s="178"/>
      <c r="B25" s="135"/>
      <c r="C25" s="870"/>
      <c r="D25" s="871"/>
      <c r="E25" s="993"/>
      <c r="F25" s="1237"/>
      <c r="G25" s="139"/>
      <c r="H25" s="139"/>
    </row>
    <row r="26" spans="1:9" ht="15.75" x14ac:dyDescent="0.25">
      <c r="A26" s="178"/>
      <c r="B26" s="135"/>
      <c r="C26" s="1247" t="s">
        <v>506</v>
      </c>
      <c r="D26" s="1230"/>
      <c r="E26" s="1243"/>
      <c r="F26" s="1236"/>
      <c r="G26" s="139"/>
      <c r="H26" s="139"/>
    </row>
    <row r="27" spans="1:9" ht="15" thickBot="1" x14ac:dyDescent="0.25">
      <c r="A27" s="178"/>
      <c r="B27" s="135"/>
      <c r="C27" s="1244"/>
      <c r="D27" s="1245"/>
      <c r="E27" s="1246"/>
      <c r="F27" s="1235">
        <v>366</v>
      </c>
      <c r="G27" s="139"/>
      <c r="H27" s="139"/>
    </row>
    <row r="28" spans="1:9" ht="15" thickBot="1" x14ac:dyDescent="0.25">
      <c r="A28" s="178"/>
      <c r="B28" s="135"/>
      <c r="C28" s="1240"/>
      <c r="D28" s="1241"/>
      <c r="E28" s="1242"/>
      <c r="F28" s="1237"/>
      <c r="G28" s="139"/>
      <c r="H28" s="139"/>
    </row>
    <row r="29" spans="1:9" ht="15.75" x14ac:dyDescent="0.25">
      <c r="A29" s="178"/>
      <c r="B29" s="135"/>
      <c r="C29" s="1228" t="s">
        <v>420</v>
      </c>
      <c r="D29" s="1230"/>
      <c r="E29" s="1229"/>
      <c r="F29" s="1236"/>
      <c r="G29" s="139"/>
      <c r="H29" s="139"/>
    </row>
    <row r="30" spans="1:9" ht="16.5" thickBot="1" x14ac:dyDescent="0.3">
      <c r="A30" s="178"/>
      <c r="B30" s="135"/>
      <c r="C30" s="1232"/>
      <c r="D30" s="1231"/>
      <c r="E30" s="875"/>
      <c r="F30" s="1235"/>
      <c r="G30" s="139"/>
      <c r="H30" s="139"/>
    </row>
    <row r="31" spans="1:9" ht="16.5" thickBot="1" x14ac:dyDescent="0.3">
      <c r="A31" s="178"/>
      <c r="B31" s="182"/>
      <c r="C31" s="190"/>
      <c r="D31" s="261"/>
      <c r="E31" s="261"/>
      <c r="F31" s="1238"/>
      <c r="G31" s="867"/>
      <c r="H31" s="139"/>
    </row>
    <row r="32" spans="1:9" s="94" customFormat="1" ht="19.5" thickBot="1" x14ac:dyDescent="0.35">
      <c r="A32" s="188" t="s">
        <v>55</v>
      </c>
      <c r="B32" s="189"/>
      <c r="C32" s="870"/>
      <c r="D32" s="261">
        <f>SUM(D22)</f>
        <v>113279</v>
      </c>
      <c r="E32" s="261">
        <f>SUM(E14:E30)</f>
        <v>120822</v>
      </c>
      <c r="F32" s="1239">
        <f>SUM(F14:F30)</f>
        <v>93639</v>
      </c>
      <c r="G32" s="141"/>
      <c r="H32" s="141"/>
    </row>
    <row r="33" spans="1:8" ht="19.5" thickBot="1" x14ac:dyDescent="0.35">
      <c r="A33" s="129"/>
      <c r="B33" s="129"/>
      <c r="F33" s="1248">
        <f>SUM(F32/E32)</f>
        <v>0.77501613944480308</v>
      </c>
      <c r="G33" s="135"/>
      <c r="H33" s="142"/>
    </row>
    <row r="34" spans="1:8" x14ac:dyDescent="0.2">
      <c r="F34" s="29"/>
      <c r="G34" s="29"/>
    </row>
    <row r="35" spans="1:8" x14ac:dyDescent="0.2">
      <c r="F35" s="29"/>
      <c r="G35" s="29"/>
    </row>
    <row r="36" spans="1:8" x14ac:dyDescent="0.2">
      <c r="F36" s="29"/>
      <c r="G36" s="29"/>
    </row>
  </sheetData>
  <mergeCells count="1">
    <mergeCell ref="A4:F4"/>
  </mergeCells>
  <phoneticPr fontId="3" type="noConversion"/>
  <pageMargins left="0.61" right="0.34" top="0.61" bottom="0.54" header="0.85" footer="0.47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971"/>
  <sheetViews>
    <sheetView topLeftCell="A139" workbookViewId="0">
      <selection sqref="A1:N160"/>
    </sheetView>
  </sheetViews>
  <sheetFormatPr defaultRowHeight="12.75" x14ac:dyDescent="0.2"/>
  <cols>
    <col min="1" max="1" width="7.5703125" style="436" customWidth="1"/>
    <col min="2" max="2" width="25.7109375" customWidth="1"/>
    <col min="3" max="3" width="9.7109375" style="158" customWidth="1"/>
    <col min="4" max="4" width="8.5703125" style="158" customWidth="1"/>
    <col min="5" max="5" width="10.85546875" style="158" customWidth="1"/>
    <col min="6" max="6" width="10" style="158" customWidth="1"/>
    <col min="7" max="7" width="11.5703125" style="158" customWidth="1"/>
    <col min="8" max="8" width="9.5703125" style="158" customWidth="1"/>
    <col min="9" max="10" width="11" style="158" customWidth="1"/>
    <col min="11" max="11" width="11.7109375" style="158" customWidth="1"/>
    <col min="12" max="12" width="10.140625" style="158" customWidth="1"/>
    <col min="13" max="13" width="11.85546875" style="158" customWidth="1"/>
    <col min="14" max="14" width="12.7109375" style="158" customWidth="1"/>
    <col min="15" max="15" width="10.7109375" style="1696" bestFit="1" customWidth="1"/>
    <col min="16" max="16" width="11.42578125" style="194" customWidth="1"/>
    <col min="17" max="18" width="9.140625" style="194"/>
    <col min="19" max="43" width="9.140625" style="4"/>
  </cols>
  <sheetData>
    <row r="1" spans="1:43" ht="15" customHeight="1" thickBot="1" x14ac:dyDescent="0.3">
      <c r="A1" s="1938" t="s">
        <v>521</v>
      </c>
      <c r="B1" s="1939"/>
      <c r="C1" s="1939"/>
      <c r="D1" s="1939"/>
      <c r="E1" s="1939"/>
      <c r="F1" s="1939"/>
      <c r="G1" s="1939"/>
      <c r="H1" s="1939"/>
      <c r="I1" s="1939"/>
      <c r="J1" s="1939"/>
      <c r="K1" s="1939"/>
      <c r="L1" s="1939"/>
      <c r="M1" s="1939"/>
      <c r="N1" s="1940"/>
    </row>
    <row r="2" spans="1:43" ht="3" hidden="1" customHeight="1" x14ac:dyDescent="0.2">
      <c r="A2" s="431"/>
      <c r="B2" s="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43" s="102" customFormat="1" ht="62.25" customHeight="1" thickBot="1" x14ac:dyDescent="0.25">
      <c r="A3" s="1678" t="s">
        <v>238</v>
      </c>
      <c r="B3" s="1679" t="s">
        <v>239</v>
      </c>
      <c r="C3" s="1680" t="s">
        <v>10</v>
      </c>
      <c r="D3" s="1681" t="s">
        <v>240</v>
      </c>
      <c r="E3" s="1681" t="s">
        <v>109</v>
      </c>
      <c r="F3" s="1681" t="s">
        <v>241</v>
      </c>
      <c r="G3" s="1681" t="s">
        <v>129</v>
      </c>
      <c r="H3" s="1681" t="s">
        <v>128</v>
      </c>
      <c r="I3" s="1681" t="s">
        <v>242</v>
      </c>
      <c r="J3" s="1681" t="s">
        <v>335</v>
      </c>
      <c r="K3" s="1681" t="s">
        <v>110</v>
      </c>
      <c r="L3" s="1681" t="s">
        <v>148</v>
      </c>
      <c r="M3" s="1681" t="s">
        <v>59</v>
      </c>
      <c r="N3" s="1690" t="s">
        <v>22</v>
      </c>
      <c r="O3" s="1697"/>
      <c r="P3" s="1496"/>
      <c r="Q3" s="1496"/>
      <c r="R3" s="1496"/>
      <c r="S3" s="1448"/>
      <c r="T3" s="1448"/>
      <c r="U3" s="1448"/>
      <c r="V3" s="1448"/>
      <c r="W3" s="1448"/>
      <c r="X3" s="1448"/>
      <c r="Y3" s="1448"/>
      <c r="Z3" s="1448"/>
      <c r="AA3" s="1448"/>
      <c r="AB3" s="1448"/>
      <c r="AC3" s="1448"/>
      <c r="AD3" s="1448"/>
      <c r="AE3" s="1448"/>
      <c r="AF3" s="1448"/>
      <c r="AG3" s="1448"/>
      <c r="AH3" s="1448"/>
      <c r="AI3" s="1448"/>
      <c r="AJ3" s="1448"/>
      <c r="AK3" s="1448"/>
      <c r="AL3" s="1448"/>
      <c r="AM3" s="1448"/>
      <c r="AN3" s="1448"/>
      <c r="AO3" s="1448"/>
      <c r="AP3" s="1448"/>
      <c r="AQ3" s="1448"/>
    </row>
    <row r="4" spans="1:43" x14ac:dyDescent="0.2">
      <c r="A4" s="1683"/>
      <c r="B4" s="1058"/>
      <c r="C4" s="1684"/>
      <c r="D4" s="1684"/>
      <c r="E4" s="1684"/>
      <c r="F4" s="1684"/>
      <c r="G4" s="1684"/>
      <c r="H4" s="1684"/>
      <c r="I4" s="1684"/>
      <c r="J4" s="1684"/>
      <c r="K4" s="1684"/>
      <c r="L4" s="1684"/>
      <c r="M4" s="1684"/>
      <c r="N4" s="1691"/>
    </row>
    <row r="5" spans="1:43" s="439" customFormat="1" ht="13.5" customHeight="1" x14ac:dyDescent="0.2">
      <c r="A5" s="636" t="s">
        <v>244</v>
      </c>
      <c r="B5" s="637" t="s">
        <v>3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1619"/>
      <c r="O5" s="1628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</row>
    <row r="6" spans="1:43" s="1551" customFormat="1" ht="13.5" customHeight="1" thickBot="1" x14ac:dyDescent="0.25">
      <c r="A6" s="567"/>
      <c r="B6" s="638" t="s">
        <v>392</v>
      </c>
      <c r="C6" s="568">
        <v>21573</v>
      </c>
      <c r="D6" s="568">
        <v>7463</v>
      </c>
      <c r="E6" s="568">
        <v>24202</v>
      </c>
      <c r="F6" s="568"/>
      <c r="G6" s="568"/>
      <c r="H6" s="568"/>
      <c r="I6" s="568">
        <f>16223</f>
        <v>16223</v>
      </c>
      <c r="J6" s="568"/>
      <c r="K6" s="568"/>
      <c r="L6" s="568"/>
      <c r="M6" s="568"/>
      <c r="N6" s="1615">
        <f t="shared" ref="N6:N72" si="0">SUM(C6:M6)</f>
        <v>69461</v>
      </c>
      <c r="O6" s="1628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</row>
    <row r="7" spans="1:43" s="439" customFormat="1" ht="0.2" customHeight="1" x14ac:dyDescent="0.2">
      <c r="A7" s="1559"/>
      <c r="B7" s="1682" t="s">
        <v>393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1616">
        <f t="shared" si="0"/>
        <v>0</v>
      </c>
      <c r="O7" s="1628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</row>
    <row r="8" spans="1:43" s="439" customFormat="1" ht="0.2" customHeight="1" x14ac:dyDescent="0.2">
      <c r="A8" s="442"/>
      <c r="B8" s="440" t="s">
        <v>391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1619">
        <f t="shared" si="0"/>
        <v>0</v>
      </c>
      <c r="O8" s="1628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</row>
    <row r="9" spans="1:43" s="439" customFormat="1" ht="21.75" customHeight="1" x14ac:dyDescent="0.2">
      <c r="A9" s="1292" t="s">
        <v>245</v>
      </c>
      <c r="B9" s="1293" t="s">
        <v>116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1619"/>
      <c r="O9" s="1628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  <c r="AP9" s="467"/>
      <c r="AQ9" s="467"/>
    </row>
    <row r="10" spans="1:43" s="1551" customFormat="1" ht="13.5" customHeight="1" thickBot="1" x14ac:dyDescent="0.25">
      <c r="A10" s="1138"/>
      <c r="B10" s="1139" t="s">
        <v>392</v>
      </c>
      <c r="C10" s="568"/>
      <c r="D10" s="568"/>
      <c r="E10" s="568">
        <v>100</v>
      </c>
      <c r="F10" s="568"/>
      <c r="G10" s="568"/>
      <c r="H10" s="568"/>
      <c r="I10" s="568"/>
      <c r="J10" s="568"/>
      <c r="K10" s="568"/>
      <c r="L10" s="568"/>
      <c r="M10" s="568"/>
      <c r="N10" s="1615">
        <f>SUM(C10:M10)</f>
        <v>100</v>
      </c>
      <c r="O10" s="1628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</row>
    <row r="11" spans="1:43" s="439" customFormat="1" ht="0.2" customHeight="1" x14ac:dyDescent="0.2">
      <c r="A11" s="1519"/>
      <c r="B11" s="1520" t="s">
        <v>393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1616"/>
      <c r="O11" s="1628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</row>
    <row r="12" spans="1:43" s="439" customFormat="1" ht="0.2" customHeight="1" x14ac:dyDescent="0.2">
      <c r="A12" s="1136"/>
      <c r="B12" s="1137" t="s">
        <v>391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1619">
        <f>SUM(E12:M12)</f>
        <v>0</v>
      </c>
      <c r="O12" s="1628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</row>
    <row r="13" spans="1:43" s="439" customFormat="1" ht="13.5" customHeight="1" x14ac:dyDescent="0.2">
      <c r="A13" s="636" t="s">
        <v>256</v>
      </c>
      <c r="B13" s="637" t="s">
        <v>263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1619"/>
      <c r="O13" s="1628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</row>
    <row r="14" spans="1:43" s="1551" customFormat="1" ht="13.5" customHeight="1" thickBot="1" x14ac:dyDescent="0.25">
      <c r="A14" s="567"/>
      <c r="B14" s="638" t="s">
        <v>392</v>
      </c>
      <c r="C14" s="568">
        <v>360</v>
      </c>
      <c r="D14" s="568">
        <v>97</v>
      </c>
      <c r="E14" s="568">
        <v>43205</v>
      </c>
      <c r="F14" s="568"/>
      <c r="G14" s="568">
        <f>152400+4960</f>
        <v>157360</v>
      </c>
      <c r="H14" s="568">
        <f>283130+300</f>
        <v>283430</v>
      </c>
      <c r="I14" s="568"/>
      <c r="J14" s="568"/>
      <c r="K14" s="568"/>
      <c r="L14" s="568"/>
      <c r="M14" s="568"/>
      <c r="N14" s="1615">
        <f t="shared" si="0"/>
        <v>484452</v>
      </c>
      <c r="O14" s="1628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</row>
    <row r="15" spans="1:43" s="439" customFormat="1" ht="0.2" customHeight="1" x14ac:dyDescent="0.2">
      <c r="A15" s="1559"/>
      <c r="B15" s="1682" t="s">
        <v>393</v>
      </c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1616">
        <f t="shared" si="0"/>
        <v>0</v>
      </c>
      <c r="O15" s="1628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</row>
    <row r="16" spans="1:43" s="439" customFormat="1" ht="0.2" customHeight="1" x14ac:dyDescent="0.2">
      <c r="A16" s="442"/>
      <c r="B16" s="440" t="s">
        <v>391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1619">
        <f t="shared" si="0"/>
        <v>0</v>
      </c>
      <c r="O16" s="1628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</row>
    <row r="17" spans="1:43" s="439" customFormat="1" ht="24" customHeight="1" x14ac:dyDescent="0.2">
      <c r="A17" s="636" t="s">
        <v>325</v>
      </c>
      <c r="B17" s="1685" t="s">
        <v>470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1619"/>
      <c r="O17" s="1628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</row>
    <row r="18" spans="1:43" s="1551" customFormat="1" ht="13.5" customHeight="1" thickBot="1" x14ac:dyDescent="0.25">
      <c r="A18" s="567"/>
      <c r="B18" s="638" t="s">
        <v>392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>
        <v>3424</v>
      </c>
      <c r="N18" s="1615">
        <f>SUM(C18:M18)</f>
        <v>3424</v>
      </c>
      <c r="O18" s="1628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</row>
    <row r="19" spans="1:43" s="439" customFormat="1" ht="0.2" customHeight="1" x14ac:dyDescent="0.2">
      <c r="A19" s="1559"/>
      <c r="B19" s="1682" t="s">
        <v>393</v>
      </c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1616">
        <f>SUM(H19:M19)</f>
        <v>0</v>
      </c>
      <c r="O19" s="1628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</row>
    <row r="20" spans="1:43" s="439" customFormat="1" ht="0.2" customHeight="1" x14ac:dyDescent="0.2">
      <c r="A20" s="442"/>
      <c r="B20" s="440" t="s">
        <v>391</v>
      </c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1619">
        <f>SUM(C20:M20)</f>
        <v>0</v>
      </c>
      <c r="O20" s="1628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</row>
    <row r="21" spans="1:43" s="439" customFormat="1" ht="13.5" customHeight="1" x14ac:dyDescent="0.2">
      <c r="A21" s="636" t="s">
        <v>305</v>
      </c>
      <c r="B21" s="637" t="s">
        <v>306</v>
      </c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1619"/>
      <c r="O21" s="1628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</row>
    <row r="22" spans="1:43" s="1551" customFormat="1" ht="13.5" customHeight="1" thickBot="1" x14ac:dyDescent="0.25">
      <c r="A22" s="567"/>
      <c r="B22" s="638" t="s">
        <v>392</v>
      </c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>
        <f>'13.sz.melléklet'!E34+'14.sz.melléklet'!E30+'15.sz.melléklet'!D22+'16.sz. melléklet'!D82</f>
        <v>385689</v>
      </c>
      <c r="N22" s="1615">
        <f t="shared" si="0"/>
        <v>385689</v>
      </c>
      <c r="O22" s="1628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</row>
    <row r="23" spans="1:43" s="439" customFormat="1" ht="0.2" customHeight="1" x14ac:dyDescent="0.2">
      <c r="A23" s="1559"/>
      <c r="B23" s="1682" t="s">
        <v>393</v>
      </c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1616">
        <f t="shared" si="0"/>
        <v>0</v>
      </c>
      <c r="O23" s="1628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</row>
    <row r="24" spans="1:43" s="439" customFormat="1" ht="0.2" customHeight="1" x14ac:dyDescent="0.2">
      <c r="A24" s="442"/>
      <c r="B24" s="440" t="s">
        <v>391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1619">
        <f t="shared" si="0"/>
        <v>0</v>
      </c>
      <c r="O24" s="1628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</row>
    <row r="25" spans="1:43" s="439" customFormat="1" ht="13.5" customHeight="1" x14ac:dyDescent="0.2">
      <c r="A25" s="636" t="s">
        <v>264</v>
      </c>
      <c r="B25" s="637" t="s">
        <v>265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1619"/>
      <c r="O25" s="1628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</row>
    <row r="26" spans="1:43" s="1551" customFormat="1" ht="13.5" customHeight="1" thickBot="1" x14ac:dyDescent="0.25">
      <c r="A26" s="567"/>
      <c r="B26" s="638" t="s">
        <v>392</v>
      </c>
      <c r="C26" s="568">
        <v>720</v>
      </c>
      <c r="D26" s="568">
        <v>195</v>
      </c>
      <c r="E26" s="568">
        <v>864</v>
      </c>
      <c r="F26" s="568"/>
      <c r="G26" s="568"/>
      <c r="H26" s="568"/>
      <c r="I26" s="568"/>
      <c r="J26" s="568"/>
      <c r="K26" s="568"/>
      <c r="L26" s="568"/>
      <c r="M26" s="568"/>
      <c r="N26" s="1615">
        <f t="shared" si="0"/>
        <v>1779</v>
      </c>
      <c r="O26" s="1628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</row>
    <row r="27" spans="1:43" s="439" customFormat="1" ht="0.2" customHeight="1" x14ac:dyDescent="0.2">
      <c r="A27" s="1559"/>
      <c r="B27" s="1682" t="s">
        <v>393</v>
      </c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1616">
        <f t="shared" si="0"/>
        <v>0</v>
      </c>
      <c r="O27" s="1628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</row>
    <row r="28" spans="1:43" s="439" customFormat="1" ht="0.2" customHeight="1" x14ac:dyDescent="0.2">
      <c r="A28" s="442"/>
      <c r="B28" s="440" t="s">
        <v>391</v>
      </c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1619">
        <f t="shared" si="0"/>
        <v>0</v>
      </c>
      <c r="O28" s="1628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</row>
    <row r="29" spans="1:43" s="439" customFormat="1" ht="13.5" customHeight="1" x14ac:dyDescent="0.2">
      <c r="A29" s="636" t="s">
        <v>266</v>
      </c>
      <c r="B29" s="637" t="s">
        <v>267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1619"/>
      <c r="O29" s="1628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</row>
    <row r="30" spans="1:43" s="1551" customFormat="1" ht="13.5" customHeight="1" thickBot="1" x14ac:dyDescent="0.25">
      <c r="A30" s="567"/>
      <c r="B30" s="638" t="s">
        <v>392</v>
      </c>
      <c r="C30" s="568">
        <v>7854</v>
      </c>
      <c r="D30" s="568">
        <v>2245</v>
      </c>
      <c r="E30" s="568">
        <v>6220</v>
      </c>
      <c r="F30" s="568"/>
      <c r="G30" s="568"/>
      <c r="H30" s="568"/>
      <c r="I30" s="568"/>
      <c r="J30" s="568"/>
      <c r="K30" s="568"/>
      <c r="L30" s="568"/>
      <c r="M30" s="568"/>
      <c r="N30" s="1615">
        <f t="shared" si="0"/>
        <v>16319</v>
      </c>
      <c r="O30" s="1628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</row>
    <row r="31" spans="1:43" s="439" customFormat="1" ht="0.2" customHeight="1" x14ac:dyDescent="0.2">
      <c r="A31" s="1559"/>
      <c r="B31" s="1682" t="s">
        <v>393</v>
      </c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1616">
        <f t="shared" si="0"/>
        <v>0</v>
      </c>
      <c r="O31" s="1628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</row>
    <row r="32" spans="1:43" s="439" customFormat="1" ht="0.2" customHeight="1" x14ac:dyDescent="0.2">
      <c r="A32" s="442"/>
      <c r="B32" s="440" t="s">
        <v>391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1619">
        <f t="shared" si="0"/>
        <v>0</v>
      </c>
      <c r="O32" s="1628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</row>
    <row r="33" spans="1:43" s="439" customFormat="1" ht="13.5" customHeight="1" x14ac:dyDescent="0.2">
      <c r="A33" s="636" t="s">
        <v>294</v>
      </c>
      <c r="B33" s="637" t="s">
        <v>295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1619"/>
      <c r="O33" s="1628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</row>
    <row r="34" spans="1:43" s="1551" customFormat="1" ht="13.5" customHeight="1" thickBot="1" x14ac:dyDescent="0.25">
      <c r="A34" s="567"/>
      <c r="B34" s="638" t="s">
        <v>392</v>
      </c>
      <c r="C34" s="568"/>
      <c r="D34" s="568"/>
      <c r="E34" s="568">
        <v>5334</v>
      </c>
      <c r="F34" s="568"/>
      <c r="G34" s="568"/>
      <c r="H34" s="568"/>
      <c r="I34" s="568"/>
      <c r="J34" s="568"/>
      <c r="K34" s="568"/>
      <c r="L34" s="568"/>
      <c r="M34" s="568"/>
      <c r="N34" s="1615">
        <f t="shared" si="0"/>
        <v>5334</v>
      </c>
      <c r="O34" s="1628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</row>
    <row r="35" spans="1:43" s="439" customFormat="1" ht="0.2" customHeight="1" x14ac:dyDescent="0.2">
      <c r="A35" s="1559"/>
      <c r="B35" s="1682" t="s">
        <v>393</v>
      </c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6"/>
      <c r="N35" s="1616">
        <f t="shared" si="0"/>
        <v>0</v>
      </c>
      <c r="O35" s="1628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</row>
    <row r="36" spans="1:43" s="439" customFormat="1" ht="0.2" customHeight="1" x14ac:dyDescent="0.2">
      <c r="A36" s="442"/>
      <c r="B36" s="440" t="s">
        <v>391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1619">
        <f t="shared" si="0"/>
        <v>0</v>
      </c>
      <c r="O36" s="1628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</row>
    <row r="37" spans="1:43" s="112" customFormat="1" x14ac:dyDescent="0.2">
      <c r="A37" s="1404" t="s">
        <v>268</v>
      </c>
      <c r="B37" s="1685" t="s">
        <v>269</v>
      </c>
      <c r="C37" s="381"/>
      <c r="D37" s="381"/>
      <c r="E37" s="381"/>
      <c r="F37" s="381"/>
      <c r="G37" s="381"/>
      <c r="H37" s="381"/>
      <c r="I37" s="380"/>
      <c r="J37" s="380"/>
      <c r="K37" s="380"/>
      <c r="L37" s="380"/>
      <c r="M37" s="380"/>
      <c r="N37" s="1619"/>
      <c r="O37" s="536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</row>
    <row r="38" spans="1:43" s="1453" customFormat="1" ht="13.5" thickBot="1" x14ac:dyDescent="0.25">
      <c r="A38" s="518"/>
      <c r="B38" s="638" t="s">
        <v>392</v>
      </c>
      <c r="C38" s="559">
        <v>480</v>
      </c>
      <c r="D38" s="559">
        <v>130</v>
      </c>
      <c r="E38" s="559">
        <v>940</v>
      </c>
      <c r="F38" s="559"/>
      <c r="G38" s="559"/>
      <c r="H38" s="559"/>
      <c r="I38" s="570"/>
      <c r="J38" s="570"/>
      <c r="K38" s="570"/>
      <c r="L38" s="570"/>
      <c r="M38" s="570"/>
      <c r="N38" s="1615">
        <f t="shared" si="0"/>
        <v>1550</v>
      </c>
      <c r="O38" s="536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</row>
    <row r="39" spans="1:43" s="112" customFormat="1" ht="0.2" customHeight="1" x14ac:dyDescent="0.2">
      <c r="A39" s="1517"/>
      <c r="B39" s="1682" t="s">
        <v>393</v>
      </c>
      <c r="C39" s="515"/>
      <c r="D39" s="515"/>
      <c r="E39" s="515"/>
      <c r="F39" s="515"/>
      <c r="G39" s="515"/>
      <c r="H39" s="515"/>
      <c r="I39" s="535"/>
      <c r="J39" s="535"/>
      <c r="K39" s="535"/>
      <c r="L39" s="535"/>
      <c r="M39" s="535"/>
      <c r="N39" s="1616">
        <f t="shared" si="0"/>
        <v>0</v>
      </c>
      <c r="O39" s="536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</row>
    <row r="40" spans="1:43" s="112" customFormat="1" ht="0.2" customHeight="1" x14ac:dyDescent="0.2">
      <c r="A40" s="443"/>
      <c r="B40" s="440" t="s">
        <v>391</v>
      </c>
      <c r="C40" s="381"/>
      <c r="D40" s="381"/>
      <c r="E40" s="381"/>
      <c r="F40" s="381"/>
      <c r="G40" s="381"/>
      <c r="H40" s="381"/>
      <c r="I40" s="380"/>
      <c r="J40" s="380"/>
      <c r="K40" s="380"/>
      <c r="L40" s="380"/>
      <c r="M40" s="380"/>
      <c r="N40" s="1619">
        <f t="shared" si="0"/>
        <v>0</v>
      </c>
      <c r="O40" s="536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</row>
    <row r="41" spans="1:43" s="112" customFormat="1" x14ac:dyDescent="0.2">
      <c r="A41" s="1404" t="s">
        <v>270</v>
      </c>
      <c r="B41" s="1685" t="s">
        <v>171</v>
      </c>
      <c r="C41" s="381"/>
      <c r="D41" s="381"/>
      <c r="E41" s="381"/>
      <c r="F41" s="381"/>
      <c r="G41" s="381"/>
      <c r="H41" s="381"/>
      <c r="I41" s="380"/>
      <c r="J41" s="380"/>
      <c r="K41" s="380"/>
      <c r="L41" s="380"/>
      <c r="M41" s="380"/>
      <c r="N41" s="1619"/>
      <c r="O41" s="536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</row>
    <row r="42" spans="1:43" s="1453" customFormat="1" ht="13.5" thickBot="1" x14ac:dyDescent="0.25">
      <c r="A42" s="518"/>
      <c r="B42" s="638" t="s">
        <v>392</v>
      </c>
      <c r="C42" s="559"/>
      <c r="D42" s="559"/>
      <c r="E42" s="559">
        <v>9655</v>
      </c>
      <c r="F42" s="559"/>
      <c r="G42" s="559">
        <v>70000</v>
      </c>
      <c r="H42" s="559"/>
      <c r="I42" s="570"/>
      <c r="J42" s="570"/>
      <c r="K42" s="570"/>
      <c r="L42" s="570"/>
      <c r="M42" s="570"/>
      <c r="N42" s="1615">
        <f t="shared" si="0"/>
        <v>79655</v>
      </c>
      <c r="O42" s="536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</row>
    <row r="43" spans="1:43" s="112" customFormat="1" ht="0.2" customHeight="1" x14ac:dyDescent="0.2">
      <c r="A43" s="1517"/>
      <c r="B43" s="1682" t="s">
        <v>393</v>
      </c>
      <c r="C43" s="515"/>
      <c r="D43" s="515"/>
      <c r="E43" s="515"/>
      <c r="F43" s="515"/>
      <c r="G43" s="515"/>
      <c r="H43" s="515"/>
      <c r="I43" s="535"/>
      <c r="J43" s="535"/>
      <c r="K43" s="535"/>
      <c r="L43" s="535"/>
      <c r="M43" s="535"/>
      <c r="N43" s="1616">
        <f t="shared" si="0"/>
        <v>0</v>
      </c>
      <c r="O43" s="5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</row>
    <row r="44" spans="1:43" s="112" customFormat="1" ht="0.2" customHeight="1" x14ac:dyDescent="0.2">
      <c r="A44" s="443"/>
      <c r="B44" s="440" t="s">
        <v>391</v>
      </c>
      <c r="C44" s="381"/>
      <c r="D44" s="381"/>
      <c r="E44" s="381"/>
      <c r="F44" s="381"/>
      <c r="G44" s="381"/>
      <c r="H44" s="381"/>
      <c r="I44" s="380"/>
      <c r="J44" s="380"/>
      <c r="K44" s="380"/>
      <c r="L44" s="380"/>
      <c r="M44" s="380"/>
      <c r="N44" s="1619">
        <f t="shared" si="0"/>
        <v>0</v>
      </c>
      <c r="O44" s="536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</row>
    <row r="45" spans="1:43" s="112" customFormat="1" ht="24.75" customHeight="1" x14ac:dyDescent="0.2">
      <c r="A45" s="1404" t="s">
        <v>271</v>
      </c>
      <c r="B45" s="1685" t="s">
        <v>272</v>
      </c>
      <c r="C45" s="381"/>
      <c r="D45" s="381"/>
      <c r="E45" s="381"/>
      <c r="F45" s="381"/>
      <c r="G45" s="381"/>
      <c r="H45" s="381"/>
      <c r="I45" s="380"/>
      <c r="J45" s="380"/>
      <c r="K45" s="380"/>
      <c r="L45" s="380"/>
      <c r="M45" s="380"/>
      <c r="N45" s="1619"/>
      <c r="O45" s="536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</row>
    <row r="46" spans="1:43" s="1453" customFormat="1" ht="14.25" customHeight="1" thickBot="1" x14ac:dyDescent="0.25">
      <c r="A46" s="518"/>
      <c r="B46" s="638" t="s">
        <v>392</v>
      </c>
      <c r="C46" s="559"/>
      <c r="D46" s="559"/>
      <c r="E46" s="559">
        <v>1148</v>
      </c>
      <c r="F46" s="559"/>
      <c r="G46" s="559"/>
      <c r="H46" s="559"/>
      <c r="I46" s="570"/>
      <c r="J46" s="570"/>
      <c r="K46" s="570"/>
      <c r="L46" s="570"/>
      <c r="M46" s="570"/>
      <c r="N46" s="1615">
        <f t="shared" si="0"/>
        <v>1148</v>
      </c>
      <c r="O46" s="536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</row>
    <row r="47" spans="1:43" s="112" customFormat="1" ht="0.2" customHeight="1" x14ac:dyDescent="0.2">
      <c r="A47" s="1517"/>
      <c r="B47" s="1682" t="s">
        <v>393</v>
      </c>
      <c r="C47" s="515"/>
      <c r="D47" s="515"/>
      <c r="E47" s="515"/>
      <c r="F47" s="515"/>
      <c r="G47" s="515"/>
      <c r="H47" s="515"/>
      <c r="I47" s="535"/>
      <c r="J47" s="535"/>
      <c r="K47" s="535"/>
      <c r="L47" s="535"/>
      <c r="M47" s="535"/>
      <c r="N47" s="1616">
        <f t="shared" si="0"/>
        <v>0</v>
      </c>
      <c r="O47" s="536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1:43" s="112" customFormat="1" ht="0.2" customHeight="1" x14ac:dyDescent="0.2">
      <c r="A48" s="443"/>
      <c r="B48" s="440" t="s">
        <v>391</v>
      </c>
      <c r="C48" s="381"/>
      <c r="D48" s="381"/>
      <c r="E48" s="381"/>
      <c r="F48" s="381"/>
      <c r="G48" s="381"/>
      <c r="H48" s="381"/>
      <c r="I48" s="380"/>
      <c r="J48" s="380"/>
      <c r="K48" s="380"/>
      <c r="L48" s="380"/>
      <c r="M48" s="380"/>
      <c r="N48" s="1619">
        <f t="shared" si="0"/>
        <v>0</v>
      </c>
      <c r="O48" s="536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43" s="112" customFormat="1" x14ac:dyDescent="0.2">
      <c r="A49" s="1404" t="s">
        <v>296</v>
      </c>
      <c r="B49" s="1685" t="s">
        <v>2</v>
      </c>
      <c r="C49" s="1686"/>
      <c r="D49" s="381"/>
      <c r="E49" s="381"/>
      <c r="F49" s="381"/>
      <c r="G49" s="381"/>
      <c r="H49" s="381"/>
      <c r="I49" s="380"/>
      <c r="J49" s="380"/>
      <c r="K49" s="380"/>
      <c r="L49" s="380"/>
      <c r="M49" s="380"/>
      <c r="N49" s="1619"/>
      <c r="O49" s="536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</row>
    <row r="50" spans="1:43" s="1453" customFormat="1" ht="13.5" thickBot="1" x14ac:dyDescent="0.25">
      <c r="A50" s="518"/>
      <c r="B50" s="638" t="s">
        <v>392</v>
      </c>
      <c r="C50" s="1689"/>
      <c r="D50" s="559"/>
      <c r="E50" s="559">
        <v>15240</v>
      </c>
      <c r="F50" s="559"/>
      <c r="G50" s="559"/>
      <c r="H50" s="559"/>
      <c r="I50" s="570"/>
      <c r="J50" s="570"/>
      <c r="K50" s="570"/>
      <c r="L50" s="570"/>
      <c r="M50" s="570"/>
      <c r="N50" s="1615">
        <f t="shared" si="0"/>
        <v>15240</v>
      </c>
      <c r="O50" s="536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</row>
    <row r="51" spans="1:43" s="112" customFormat="1" ht="0.2" customHeight="1" x14ac:dyDescent="0.2">
      <c r="A51" s="1517"/>
      <c r="B51" s="1682" t="s">
        <v>393</v>
      </c>
      <c r="C51" s="1688"/>
      <c r="D51" s="515"/>
      <c r="E51" s="515"/>
      <c r="F51" s="515"/>
      <c r="G51" s="515"/>
      <c r="H51" s="515"/>
      <c r="I51" s="535"/>
      <c r="J51" s="535"/>
      <c r="K51" s="535"/>
      <c r="L51" s="535"/>
      <c r="M51" s="535"/>
      <c r="N51" s="1616">
        <f t="shared" si="0"/>
        <v>0</v>
      </c>
      <c r="O51" s="536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</row>
    <row r="52" spans="1:43" s="112" customFormat="1" ht="0.2" customHeight="1" x14ac:dyDescent="0.2">
      <c r="A52" s="443"/>
      <c r="B52" s="440" t="s">
        <v>391</v>
      </c>
      <c r="C52" s="1686"/>
      <c r="D52" s="381"/>
      <c r="E52" s="381"/>
      <c r="F52" s="381"/>
      <c r="G52" s="381"/>
      <c r="H52" s="381"/>
      <c r="I52" s="380"/>
      <c r="J52" s="380"/>
      <c r="K52" s="380"/>
      <c r="L52" s="380"/>
      <c r="M52" s="380"/>
      <c r="N52" s="1619">
        <f t="shared" si="0"/>
        <v>0</v>
      </c>
      <c r="O52" s="536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</row>
    <row r="53" spans="1:43" s="112" customFormat="1" x14ac:dyDescent="0.2">
      <c r="A53" s="1404" t="s">
        <v>297</v>
      </c>
      <c r="B53" s="1685" t="s">
        <v>172</v>
      </c>
      <c r="C53" s="381"/>
      <c r="D53" s="381"/>
      <c r="E53" s="1687"/>
      <c r="F53" s="381"/>
      <c r="G53" s="381"/>
      <c r="H53" s="381"/>
      <c r="I53" s="380"/>
      <c r="J53" s="380"/>
      <c r="K53" s="380"/>
      <c r="L53" s="380"/>
      <c r="M53" s="380"/>
      <c r="N53" s="1619"/>
      <c r="O53" s="536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</row>
    <row r="54" spans="1:43" s="1453" customFormat="1" ht="13.5" thickBot="1" x14ac:dyDescent="0.25">
      <c r="A54" s="518"/>
      <c r="B54" s="638" t="s">
        <v>392</v>
      </c>
      <c r="C54" s="559"/>
      <c r="D54" s="559"/>
      <c r="E54" s="571">
        <v>1461</v>
      </c>
      <c r="F54" s="559"/>
      <c r="G54" s="559"/>
      <c r="H54" s="559"/>
      <c r="I54" s="570"/>
      <c r="J54" s="570"/>
      <c r="K54" s="570"/>
      <c r="L54" s="570"/>
      <c r="M54" s="570"/>
      <c r="N54" s="1615">
        <f t="shared" si="0"/>
        <v>1461</v>
      </c>
      <c r="O54" s="536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</row>
    <row r="55" spans="1:43" s="112" customFormat="1" ht="0.2" customHeight="1" x14ac:dyDescent="0.2">
      <c r="A55" s="1517"/>
      <c r="B55" s="1682" t="s">
        <v>393</v>
      </c>
      <c r="C55" s="515"/>
      <c r="D55" s="515"/>
      <c r="E55" s="534"/>
      <c r="F55" s="515"/>
      <c r="G55" s="515"/>
      <c r="H55" s="515"/>
      <c r="I55" s="535"/>
      <c r="J55" s="535"/>
      <c r="K55" s="535"/>
      <c r="L55" s="535"/>
      <c r="M55" s="535"/>
      <c r="N55" s="1616">
        <f t="shared" si="0"/>
        <v>0</v>
      </c>
      <c r="O55" s="536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</row>
    <row r="56" spans="1:43" s="112" customFormat="1" ht="0.2" customHeight="1" x14ac:dyDescent="0.2">
      <c r="A56" s="443"/>
      <c r="B56" s="440" t="s">
        <v>391</v>
      </c>
      <c r="C56" s="381"/>
      <c r="D56" s="381"/>
      <c r="E56" s="1687"/>
      <c r="F56" s="381"/>
      <c r="G56" s="381"/>
      <c r="H56" s="381"/>
      <c r="I56" s="380"/>
      <c r="J56" s="380"/>
      <c r="K56" s="380"/>
      <c r="L56" s="380"/>
      <c r="M56" s="380"/>
      <c r="N56" s="1619">
        <f t="shared" si="0"/>
        <v>0</v>
      </c>
      <c r="O56" s="536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</row>
    <row r="57" spans="1:43" s="112" customFormat="1" x14ac:dyDescent="0.2">
      <c r="A57" s="1404" t="s">
        <v>262</v>
      </c>
      <c r="B57" s="1685" t="s">
        <v>312</v>
      </c>
      <c r="C57" s="381"/>
      <c r="D57" s="381"/>
      <c r="E57" s="1687"/>
      <c r="F57" s="381"/>
      <c r="G57" s="381"/>
      <c r="H57" s="381"/>
      <c r="I57" s="380"/>
      <c r="J57" s="380"/>
      <c r="K57" s="380"/>
      <c r="L57" s="380"/>
      <c r="M57" s="380"/>
      <c r="N57" s="1619"/>
      <c r="O57" s="536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</row>
    <row r="58" spans="1:43" s="1453" customFormat="1" ht="13.5" thickBot="1" x14ac:dyDescent="0.25">
      <c r="A58" s="518"/>
      <c r="B58" s="638" t="s">
        <v>392</v>
      </c>
      <c r="C58" s="559"/>
      <c r="D58" s="559"/>
      <c r="E58" s="571"/>
      <c r="F58" s="559"/>
      <c r="G58" s="559"/>
      <c r="H58" s="559"/>
      <c r="I58" s="570"/>
      <c r="J58" s="570"/>
      <c r="K58" s="570"/>
      <c r="L58" s="570"/>
      <c r="M58" s="570"/>
      <c r="N58" s="1615">
        <f t="shared" si="0"/>
        <v>0</v>
      </c>
      <c r="O58" s="536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</row>
    <row r="59" spans="1:43" s="112" customFormat="1" ht="0.2" customHeight="1" x14ac:dyDescent="0.2">
      <c r="A59" s="1517"/>
      <c r="B59" s="1682" t="s">
        <v>393</v>
      </c>
      <c r="C59" s="515"/>
      <c r="D59" s="515"/>
      <c r="E59" s="534"/>
      <c r="F59" s="515"/>
      <c r="G59" s="515"/>
      <c r="H59" s="515"/>
      <c r="I59" s="535"/>
      <c r="J59" s="535"/>
      <c r="K59" s="535"/>
      <c r="L59" s="535"/>
      <c r="M59" s="535"/>
      <c r="N59" s="1616">
        <f t="shared" si="0"/>
        <v>0</v>
      </c>
      <c r="O59" s="536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</row>
    <row r="60" spans="1:43" s="112" customFormat="1" ht="0.2" customHeight="1" x14ac:dyDescent="0.2">
      <c r="A60" s="443"/>
      <c r="B60" s="440" t="s">
        <v>391</v>
      </c>
      <c r="C60" s="381"/>
      <c r="D60" s="381"/>
      <c r="E60" s="1687"/>
      <c r="F60" s="381"/>
      <c r="G60" s="381"/>
      <c r="H60" s="381"/>
      <c r="I60" s="380"/>
      <c r="J60" s="380"/>
      <c r="K60" s="380"/>
      <c r="L60" s="380"/>
      <c r="M60" s="380"/>
      <c r="N60" s="1619">
        <f t="shared" si="0"/>
        <v>0</v>
      </c>
      <c r="O60" s="536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</row>
    <row r="61" spans="1:43" s="112" customFormat="1" x14ac:dyDescent="0.2">
      <c r="A61" s="1404" t="s">
        <v>273</v>
      </c>
      <c r="B61" s="1685" t="s">
        <v>274</v>
      </c>
      <c r="C61" s="381"/>
      <c r="D61" s="381"/>
      <c r="E61" s="381"/>
      <c r="F61" s="381"/>
      <c r="G61" s="381"/>
      <c r="H61" s="381"/>
      <c r="I61" s="380"/>
      <c r="J61" s="380"/>
      <c r="K61" s="380"/>
      <c r="L61" s="380"/>
      <c r="M61" s="380"/>
      <c r="N61" s="1619"/>
      <c r="O61" s="536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</row>
    <row r="62" spans="1:43" s="1453" customFormat="1" ht="13.5" thickBot="1" x14ac:dyDescent="0.25">
      <c r="A62" s="518"/>
      <c r="B62" s="638" t="s">
        <v>392</v>
      </c>
      <c r="C62" s="559"/>
      <c r="D62" s="559"/>
      <c r="E62" s="559"/>
      <c r="F62" s="559"/>
      <c r="G62" s="559"/>
      <c r="H62" s="559"/>
      <c r="I62" s="570"/>
      <c r="J62" s="570"/>
      <c r="K62" s="570"/>
      <c r="L62" s="570"/>
      <c r="M62" s="570"/>
      <c r="N62" s="1615">
        <f t="shared" si="0"/>
        <v>0</v>
      </c>
      <c r="O62" s="536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</row>
    <row r="63" spans="1:43" s="112" customFormat="1" ht="0.2" customHeight="1" x14ac:dyDescent="0.2">
      <c r="A63" s="1517"/>
      <c r="B63" s="1682" t="s">
        <v>393</v>
      </c>
      <c r="C63" s="515"/>
      <c r="D63" s="515"/>
      <c r="E63" s="515"/>
      <c r="F63" s="515"/>
      <c r="G63" s="515"/>
      <c r="H63" s="515"/>
      <c r="I63" s="535"/>
      <c r="J63" s="535"/>
      <c r="K63" s="535"/>
      <c r="L63" s="535"/>
      <c r="M63" s="535"/>
      <c r="N63" s="1616">
        <f t="shared" si="0"/>
        <v>0</v>
      </c>
      <c r="O63" s="536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</row>
    <row r="64" spans="1:43" s="112" customFormat="1" ht="0.2" customHeight="1" x14ac:dyDescent="0.2">
      <c r="A64" s="443"/>
      <c r="B64" s="440" t="s">
        <v>391</v>
      </c>
      <c r="C64" s="381"/>
      <c r="D64" s="381"/>
      <c r="E64" s="381"/>
      <c r="F64" s="381"/>
      <c r="G64" s="381"/>
      <c r="H64" s="381"/>
      <c r="I64" s="380"/>
      <c r="J64" s="380"/>
      <c r="K64" s="380"/>
      <c r="L64" s="380"/>
      <c r="M64" s="380"/>
      <c r="N64" s="1619">
        <f t="shared" si="0"/>
        <v>0</v>
      </c>
      <c r="O64" s="536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</row>
    <row r="65" spans="1:43" s="112" customFormat="1" x14ac:dyDescent="0.2">
      <c r="A65" s="1404" t="s">
        <v>275</v>
      </c>
      <c r="B65" s="1685" t="s">
        <v>113</v>
      </c>
      <c r="C65" s="381"/>
      <c r="D65" s="381"/>
      <c r="E65" s="381"/>
      <c r="F65" s="381"/>
      <c r="G65" s="381"/>
      <c r="H65" s="381"/>
      <c r="I65" s="380"/>
      <c r="J65" s="380"/>
      <c r="K65" s="380"/>
      <c r="L65" s="380"/>
      <c r="M65" s="380"/>
      <c r="N65" s="1619"/>
      <c r="O65" s="536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</row>
    <row r="66" spans="1:43" s="1453" customFormat="1" ht="13.5" thickBot="1" x14ac:dyDescent="0.25">
      <c r="A66" s="518"/>
      <c r="B66" s="638" t="s">
        <v>392</v>
      </c>
      <c r="C66" s="559"/>
      <c r="D66" s="559"/>
      <c r="E66" s="559">
        <v>19338</v>
      </c>
      <c r="F66" s="559"/>
      <c r="G66" s="559"/>
      <c r="H66" s="559"/>
      <c r="I66" s="570"/>
      <c r="J66" s="570"/>
      <c r="K66" s="570"/>
      <c r="L66" s="570"/>
      <c r="M66" s="570"/>
      <c r="N66" s="1615">
        <f t="shared" si="0"/>
        <v>19338</v>
      </c>
      <c r="O66" s="536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</row>
    <row r="67" spans="1:43" s="112" customFormat="1" ht="0.2" customHeight="1" x14ac:dyDescent="0.2">
      <c r="A67" s="1517"/>
      <c r="B67" s="1682" t="s">
        <v>393</v>
      </c>
      <c r="C67" s="515"/>
      <c r="D67" s="515"/>
      <c r="E67" s="515"/>
      <c r="F67" s="515"/>
      <c r="G67" s="515"/>
      <c r="H67" s="515"/>
      <c r="I67" s="535"/>
      <c r="J67" s="535"/>
      <c r="K67" s="535"/>
      <c r="L67" s="535"/>
      <c r="M67" s="535"/>
      <c r="N67" s="1616">
        <f t="shared" si="0"/>
        <v>0</v>
      </c>
      <c r="O67" s="536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</row>
    <row r="68" spans="1:43" s="112" customFormat="1" ht="0.2" customHeight="1" x14ac:dyDescent="0.2">
      <c r="A68" s="443"/>
      <c r="B68" s="440" t="s">
        <v>391</v>
      </c>
      <c r="C68" s="381"/>
      <c r="D68" s="381"/>
      <c r="E68" s="381"/>
      <c r="F68" s="381"/>
      <c r="G68" s="381"/>
      <c r="H68" s="381"/>
      <c r="I68" s="380"/>
      <c r="J68" s="380"/>
      <c r="K68" s="380"/>
      <c r="L68" s="380"/>
      <c r="M68" s="380"/>
      <c r="N68" s="1619">
        <f t="shared" si="0"/>
        <v>0</v>
      </c>
      <c r="O68" s="536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</row>
    <row r="69" spans="1:43" s="112" customFormat="1" x14ac:dyDescent="0.2">
      <c r="A69" s="1404" t="s">
        <v>278</v>
      </c>
      <c r="B69" s="1685" t="s">
        <v>115</v>
      </c>
      <c r="C69" s="381"/>
      <c r="D69" s="381"/>
      <c r="E69" s="381"/>
      <c r="F69" s="381"/>
      <c r="G69" s="381"/>
      <c r="H69" s="381"/>
      <c r="I69" s="380"/>
      <c r="J69" s="380"/>
      <c r="K69" s="380"/>
      <c r="L69" s="380"/>
      <c r="M69" s="380"/>
      <c r="N69" s="1619"/>
      <c r="O69" s="536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</row>
    <row r="70" spans="1:43" s="1453" customFormat="1" ht="13.5" thickBot="1" x14ac:dyDescent="0.25">
      <c r="A70" s="518"/>
      <c r="B70" s="638" t="s">
        <v>392</v>
      </c>
      <c r="C70" s="559">
        <v>6092</v>
      </c>
      <c r="D70" s="559">
        <v>1691</v>
      </c>
      <c r="E70" s="559">
        <v>1629</v>
      </c>
      <c r="F70" s="559"/>
      <c r="G70" s="559"/>
      <c r="H70" s="559">
        <v>530</v>
      </c>
      <c r="I70" s="570"/>
      <c r="J70" s="570"/>
      <c r="K70" s="570"/>
      <c r="L70" s="570"/>
      <c r="M70" s="570"/>
      <c r="N70" s="1615">
        <f t="shared" si="0"/>
        <v>9942</v>
      </c>
      <c r="O70" s="536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</row>
    <row r="71" spans="1:43" s="112" customFormat="1" ht="0.2" customHeight="1" x14ac:dyDescent="0.2">
      <c r="A71" s="1517"/>
      <c r="B71" s="1682" t="s">
        <v>393</v>
      </c>
      <c r="C71" s="515"/>
      <c r="D71" s="515"/>
      <c r="E71" s="515"/>
      <c r="F71" s="515"/>
      <c r="G71" s="515"/>
      <c r="H71" s="515"/>
      <c r="I71" s="535"/>
      <c r="J71" s="535"/>
      <c r="K71" s="535"/>
      <c r="L71" s="535"/>
      <c r="M71" s="535"/>
      <c r="N71" s="1616">
        <f t="shared" si="0"/>
        <v>0</v>
      </c>
      <c r="O71" s="536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</row>
    <row r="72" spans="1:43" s="112" customFormat="1" ht="0.2" customHeight="1" x14ac:dyDescent="0.2">
      <c r="A72" s="443"/>
      <c r="B72" s="440" t="s">
        <v>391</v>
      </c>
      <c r="C72" s="381"/>
      <c r="D72" s="381"/>
      <c r="E72" s="381"/>
      <c r="F72" s="381"/>
      <c r="G72" s="381"/>
      <c r="H72" s="381"/>
      <c r="I72" s="380"/>
      <c r="J72" s="380"/>
      <c r="K72" s="380"/>
      <c r="L72" s="380"/>
      <c r="M72" s="380"/>
      <c r="N72" s="1619">
        <f t="shared" si="0"/>
        <v>0</v>
      </c>
      <c r="O72" s="536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</row>
    <row r="73" spans="1:43" s="112" customFormat="1" x14ac:dyDescent="0.2">
      <c r="A73" s="1404" t="s">
        <v>279</v>
      </c>
      <c r="B73" s="1685" t="s">
        <v>114</v>
      </c>
      <c r="C73" s="381"/>
      <c r="D73" s="381"/>
      <c r="E73" s="381"/>
      <c r="F73" s="381"/>
      <c r="G73" s="381"/>
      <c r="H73" s="381"/>
      <c r="I73" s="380"/>
      <c r="J73" s="380"/>
      <c r="K73" s="380"/>
      <c r="L73" s="380"/>
      <c r="M73" s="380"/>
      <c r="N73" s="1619"/>
      <c r="O73" s="536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</row>
    <row r="74" spans="1:43" s="1453" customFormat="1" ht="13.5" thickBot="1" x14ac:dyDescent="0.25">
      <c r="A74" s="518"/>
      <c r="B74" s="638" t="s">
        <v>392</v>
      </c>
      <c r="C74" s="559">
        <v>368</v>
      </c>
      <c r="D74" s="559">
        <v>99</v>
      </c>
      <c r="E74" s="559"/>
      <c r="F74" s="559"/>
      <c r="G74" s="559"/>
      <c r="H74" s="559"/>
      <c r="I74" s="570"/>
      <c r="J74" s="570"/>
      <c r="K74" s="570"/>
      <c r="L74" s="570"/>
      <c r="M74" s="570"/>
      <c r="N74" s="1615">
        <f t="shared" ref="N74:N138" si="1">SUM(C74:M74)</f>
        <v>467</v>
      </c>
      <c r="O74" s="536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</row>
    <row r="75" spans="1:43" s="112" customFormat="1" ht="0.2" customHeight="1" x14ac:dyDescent="0.2">
      <c r="A75" s="1517"/>
      <c r="B75" s="1682" t="s">
        <v>393</v>
      </c>
      <c r="C75" s="515"/>
      <c r="D75" s="515"/>
      <c r="E75" s="515"/>
      <c r="F75" s="515"/>
      <c r="G75" s="515"/>
      <c r="H75" s="515"/>
      <c r="I75" s="535"/>
      <c r="J75" s="535"/>
      <c r="K75" s="535"/>
      <c r="L75" s="535"/>
      <c r="M75" s="535"/>
      <c r="N75" s="1616">
        <f t="shared" si="1"/>
        <v>0</v>
      </c>
      <c r="O75" s="536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</row>
    <row r="76" spans="1:43" s="112" customFormat="1" ht="0.2" customHeight="1" x14ac:dyDescent="0.2">
      <c r="A76" s="443"/>
      <c r="B76" s="440" t="s">
        <v>391</v>
      </c>
      <c r="C76" s="381"/>
      <c r="D76" s="381"/>
      <c r="E76" s="381"/>
      <c r="F76" s="381"/>
      <c r="G76" s="381"/>
      <c r="H76" s="381"/>
      <c r="I76" s="380"/>
      <c r="J76" s="380"/>
      <c r="K76" s="380"/>
      <c r="L76" s="380"/>
      <c r="M76" s="380"/>
      <c r="N76" s="1619">
        <f t="shared" si="1"/>
        <v>0</v>
      </c>
      <c r="O76" s="536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</row>
    <row r="77" spans="1:43" s="112" customFormat="1" ht="22.5" customHeight="1" x14ac:dyDescent="0.2">
      <c r="A77" s="1404" t="s">
        <v>280</v>
      </c>
      <c r="B77" s="1685" t="s">
        <v>401</v>
      </c>
      <c r="C77" s="381"/>
      <c r="D77" s="381"/>
      <c r="E77" s="381"/>
      <c r="F77" s="381"/>
      <c r="G77" s="381"/>
      <c r="H77" s="381"/>
      <c r="I77" s="380"/>
      <c r="J77" s="380"/>
      <c r="K77" s="380"/>
      <c r="L77" s="380"/>
      <c r="M77" s="380"/>
      <c r="N77" s="1619"/>
      <c r="O77" s="536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</row>
    <row r="78" spans="1:43" s="1453" customFormat="1" ht="15.75" customHeight="1" thickBot="1" x14ac:dyDescent="0.25">
      <c r="A78" s="518"/>
      <c r="B78" s="638" t="s">
        <v>392</v>
      </c>
      <c r="C78" s="559">
        <v>520</v>
      </c>
      <c r="D78" s="559">
        <v>140</v>
      </c>
      <c r="E78" s="559">
        <v>534</v>
      </c>
      <c r="F78" s="559"/>
      <c r="G78" s="559"/>
      <c r="H78" s="559"/>
      <c r="I78" s="570"/>
      <c r="J78" s="570"/>
      <c r="K78" s="570"/>
      <c r="L78" s="570"/>
      <c r="M78" s="570"/>
      <c r="N78" s="1615">
        <f t="shared" si="1"/>
        <v>1194</v>
      </c>
      <c r="O78" s="536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</row>
    <row r="79" spans="1:43" s="112" customFormat="1" ht="0.2" customHeight="1" x14ac:dyDescent="0.2">
      <c r="A79" s="1517"/>
      <c r="B79" s="1682" t="s">
        <v>393</v>
      </c>
      <c r="C79" s="515"/>
      <c r="D79" s="515"/>
      <c r="E79" s="515"/>
      <c r="F79" s="515"/>
      <c r="G79" s="515"/>
      <c r="H79" s="515"/>
      <c r="I79" s="535"/>
      <c r="J79" s="535"/>
      <c r="K79" s="535"/>
      <c r="L79" s="535"/>
      <c r="M79" s="535"/>
      <c r="N79" s="1616">
        <f t="shared" si="1"/>
        <v>0</v>
      </c>
      <c r="O79" s="536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</row>
    <row r="80" spans="1:43" s="112" customFormat="1" ht="0.2" customHeight="1" x14ac:dyDescent="0.2">
      <c r="A80" s="443"/>
      <c r="B80" s="440" t="s">
        <v>391</v>
      </c>
      <c r="C80" s="381"/>
      <c r="D80" s="381"/>
      <c r="E80" s="381"/>
      <c r="F80" s="381"/>
      <c r="G80" s="381"/>
      <c r="H80" s="381"/>
      <c r="I80" s="380"/>
      <c r="J80" s="380"/>
      <c r="K80" s="380"/>
      <c r="L80" s="380"/>
      <c r="M80" s="380"/>
      <c r="N80" s="1619">
        <f t="shared" si="1"/>
        <v>0</v>
      </c>
      <c r="O80" s="536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</row>
    <row r="81" spans="1:43" s="112" customFormat="1" ht="15.75" customHeight="1" x14ac:dyDescent="0.2">
      <c r="A81" s="1404" t="s">
        <v>319</v>
      </c>
      <c r="B81" s="1685" t="s">
        <v>320</v>
      </c>
      <c r="C81" s="381"/>
      <c r="D81" s="381"/>
      <c r="E81" s="381"/>
      <c r="F81" s="381"/>
      <c r="G81" s="381"/>
      <c r="H81" s="381"/>
      <c r="I81" s="380"/>
      <c r="J81" s="380"/>
      <c r="K81" s="380"/>
      <c r="L81" s="380"/>
      <c r="M81" s="380"/>
      <c r="N81" s="1619"/>
      <c r="O81" s="536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</row>
    <row r="82" spans="1:43" s="1453" customFormat="1" ht="15.75" customHeight="1" thickBot="1" x14ac:dyDescent="0.25">
      <c r="A82" s="518"/>
      <c r="B82" s="638" t="s">
        <v>392</v>
      </c>
      <c r="C82" s="559"/>
      <c r="D82" s="559"/>
      <c r="E82" s="559"/>
      <c r="F82" s="559"/>
      <c r="G82" s="559"/>
      <c r="H82" s="559"/>
      <c r="I82" s="570">
        <v>840</v>
      </c>
      <c r="J82" s="570"/>
      <c r="K82" s="570"/>
      <c r="L82" s="570"/>
      <c r="M82" s="570"/>
      <c r="N82" s="1615">
        <f t="shared" si="1"/>
        <v>840</v>
      </c>
      <c r="O82" s="536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</row>
    <row r="83" spans="1:43" s="112" customFormat="1" ht="0.2" customHeight="1" x14ac:dyDescent="0.2">
      <c r="A83" s="1517"/>
      <c r="B83" s="1682" t="s">
        <v>393</v>
      </c>
      <c r="C83" s="515"/>
      <c r="D83" s="515"/>
      <c r="E83" s="515"/>
      <c r="F83" s="515"/>
      <c r="G83" s="515"/>
      <c r="H83" s="515"/>
      <c r="I83" s="535"/>
      <c r="J83" s="535"/>
      <c r="K83" s="535"/>
      <c r="L83" s="535"/>
      <c r="M83" s="535"/>
      <c r="N83" s="1616">
        <f t="shared" si="1"/>
        <v>0</v>
      </c>
      <c r="O83" s="536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</row>
    <row r="84" spans="1:43" s="112" customFormat="1" ht="0.2" customHeight="1" x14ac:dyDescent="0.2">
      <c r="A84" s="443"/>
      <c r="B84" s="440" t="s">
        <v>391</v>
      </c>
      <c r="C84" s="381"/>
      <c r="D84" s="381"/>
      <c r="E84" s="381"/>
      <c r="F84" s="381"/>
      <c r="G84" s="381"/>
      <c r="H84" s="381"/>
      <c r="I84" s="380"/>
      <c r="J84" s="380"/>
      <c r="K84" s="380"/>
      <c r="L84" s="380"/>
      <c r="M84" s="380"/>
      <c r="N84" s="1619">
        <f t="shared" si="1"/>
        <v>0</v>
      </c>
      <c r="O84" s="536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</row>
    <row r="85" spans="1:43" s="112" customFormat="1" ht="27" customHeight="1" x14ac:dyDescent="0.2">
      <c r="A85" s="1404" t="s">
        <v>598</v>
      </c>
      <c r="B85" s="1685" t="s">
        <v>322</v>
      </c>
      <c r="C85" s="381"/>
      <c r="D85" s="381"/>
      <c r="E85" s="381"/>
      <c r="F85" s="381"/>
      <c r="G85" s="381"/>
      <c r="H85" s="381"/>
      <c r="I85" s="380"/>
      <c r="J85" s="380"/>
      <c r="K85" s="380"/>
      <c r="L85" s="380"/>
      <c r="M85" s="380"/>
      <c r="N85" s="1619"/>
      <c r="O85" s="536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</row>
    <row r="86" spans="1:43" s="1453" customFormat="1" ht="15.75" customHeight="1" thickBot="1" x14ac:dyDescent="0.25">
      <c r="A86" s="518"/>
      <c r="B86" s="638" t="s">
        <v>392</v>
      </c>
      <c r="C86" s="559"/>
      <c r="D86" s="559"/>
      <c r="E86" s="559"/>
      <c r="F86" s="559"/>
      <c r="G86" s="559"/>
      <c r="H86" s="559"/>
      <c r="I86" s="570">
        <v>1500</v>
      </c>
      <c r="J86" s="570"/>
      <c r="K86" s="570"/>
      <c r="L86" s="570"/>
      <c r="M86" s="570"/>
      <c r="N86" s="1615">
        <f t="shared" si="1"/>
        <v>1500</v>
      </c>
      <c r="O86" s="536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</row>
    <row r="87" spans="1:43" s="112" customFormat="1" ht="0.2" customHeight="1" x14ac:dyDescent="0.2">
      <c r="A87" s="1517"/>
      <c r="B87" s="1682" t="s">
        <v>393</v>
      </c>
      <c r="C87" s="515"/>
      <c r="D87" s="515"/>
      <c r="E87" s="515"/>
      <c r="F87" s="515"/>
      <c r="G87" s="515"/>
      <c r="H87" s="515"/>
      <c r="I87" s="535"/>
      <c r="J87" s="535"/>
      <c r="K87" s="535"/>
      <c r="L87" s="535"/>
      <c r="M87" s="535"/>
      <c r="N87" s="1616">
        <f t="shared" si="1"/>
        <v>0</v>
      </c>
      <c r="O87" s="536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</row>
    <row r="88" spans="1:43" s="112" customFormat="1" ht="0.2" customHeight="1" x14ac:dyDescent="0.2">
      <c r="A88" s="443"/>
      <c r="B88" s="440" t="s">
        <v>391</v>
      </c>
      <c r="C88" s="381"/>
      <c r="D88" s="381"/>
      <c r="E88" s="381"/>
      <c r="F88" s="381"/>
      <c r="G88" s="381"/>
      <c r="H88" s="381"/>
      <c r="I88" s="380"/>
      <c r="J88" s="380"/>
      <c r="K88" s="380"/>
      <c r="L88" s="380"/>
      <c r="M88" s="380"/>
      <c r="N88" s="1619">
        <f t="shared" si="1"/>
        <v>0</v>
      </c>
      <c r="O88" s="536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</row>
    <row r="89" spans="1:43" s="112" customFormat="1" ht="15.75" customHeight="1" x14ac:dyDescent="0.2">
      <c r="A89" s="1404" t="s">
        <v>282</v>
      </c>
      <c r="B89" s="1685" t="s">
        <v>283</v>
      </c>
      <c r="C89" s="381"/>
      <c r="D89" s="381"/>
      <c r="E89" s="381"/>
      <c r="F89" s="381"/>
      <c r="G89" s="381"/>
      <c r="H89" s="381"/>
      <c r="I89" s="380"/>
      <c r="J89" s="380"/>
      <c r="K89" s="380"/>
      <c r="L89" s="380"/>
      <c r="M89" s="380"/>
      <c r="N89" s="1619">
        <f t="shared" si="1"/>
        <v>0</v>
      </c>
      <c r="O89" s="536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</row>
    <row r="90" spans="1:43" s="1453" customFormat="1" ht="15.75" customHeight="1" thickBot="1" x14ac:dyDescent="0.25">
      <c r="A90" s="518"/>
      <c r="B90" s="638" t="s">
        <v>392</v>
      </c>
      <c r="C90" s="559"/>
      <c r="D90" s="559"/>
      <c r="E90" s="559">
        <v>3990</v>
      </c>
      <c r="F90" s="559"/>
      <c r="G90" s="559"/>
      <c r="H90" s="559"/>
      <c r="I90" s="570"/>
      <c r="J90" s="570"/>
      <c r="K90" s="570"/>
      <c r="L90" s="570"/>
      <c r="M90" s="570"/>
      <c r="N90" s="1615">
        <f t="shared" si="1"/>
        <v>3990</v>
      </c>
      <c r="O90" s="536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</row>
    <row r="91" spans="1:43" s="112" customFormat="1" ht="0.2" customHeight="1" x14ac:dyDescent="0.2">
      <c r="A91" s="1517"/>
      <c r="B91" s="1682" t="s">
        <v>393</v>
      </c>
      <c r="C91" s="515"/>
      <c r="D91" s="515"/>
      <c r="E91" s="515"/>
      <c r="F91" s="515"/>
      <c r="G91" s="515"/>
      <c r="H91" s="515"/>
      <c r="I91" s="535"/>
      <c r="J91" s="535"/>
      <c r="K91" s="535"/>
      <c r="L91" s="535"/>
      <c r="M91" s="535"/>
      <c r="N91" s="1616">
        <f t="shared" si="1"/>
        <v>0</v>
      </c>
      <c r="O91" s="536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</row>
    <row r="92" spans="1:43" s="112" customFormat="1" ht="0.2" customHeight="1" x14ac:dyDescent="0.2">
      <c r="A92" s="443"/>
      <c r="B92" s="440" t="s">
        <v>391</v>
      </c>
      <c r="C92" s="381"/>
      <c r="D92" s="381"/>
      <c r="E92" s="381"/>
      <c r="F92" s="381"/>
      <c r="G92" s="381"/>
      <c r="H92" s="381"/>
      <c r="I92" s="380"/>
      <c r="J92" s="380"/>
      <c r="K92" s="380"/>
      <c r="L92" s="380"/>
      <c r="M92" s="380"/>
      <c r="N92" s="1619">
        <f t="shared" si="1"/>
        <v>0</v>
      </c>
      <c r="O92" s="536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</row>
    <row r="93" spans="1:43" s="112" customFormat="1" ht="25.5" x14ac:dyDescent="0.2">
      <c r="A93" s="1404" t="s">
        <v>300</v>
      </c>
      <c r="B93" s="1685" t="s">
        <v>139</v>
      </c>
      <c r="C93" s="381"/>
      <c r="D93" s="381"/>
      <c r="E93" s="381"/>
      <c r="F93" s="381"/>
      <c r="G93" s="381"/>
      <c r="H93" s="381"/>
      <c r="I93" s="380"/>
      <c r="J93" s="380"/>
      <c r="K93" s="380"/>
      <c r="L93" s="380"/>
      <c r="M93" s="380"/>
      <c r="N93" s="1619"/>
      <c r="O93" s="536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</row>
    <row r="94" spans="1:43" s="1453" customFormat="1" ht="13.5" thickBot="1" x14ac:dyDescent="0.25">
      <c r="A94" s="518"/>
      <c r="B94" s="638" t="s">
        <v>392</v>
      </c>
      <c r="C94" s="559"/>
      <c r="D94" s="559"/>
      <c r="E94" s="559"/>
      <c r="F94" s="559"/>
      <c r="G94" s="559"/>
      <c r="H94" s="559"/>
      <c r="I94" s="570">
        <f>22680+80+385</f>
        <v>23145</v>
      </c>
      <c r="J94" s="570"/>
      <c r="K94" s="570"/>
      <c r="L94" s="570"/>
      <c r="M94" s="570"/>
      <c r="N94" s="1615">
        <f t="shared" si="1"/>
        <v>23145</v>
      </c>
      <c r="O94" s="536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</row>
    <row r="95" spans="1:43" s="112" customFormat="1" ht="0.2" customHeight="1" x14ac:dyDescent="0.2">
      <c r="A95" s="1517"/>
      <c r="B95" s="1682" t="s">
        <v>393</v>
      </c>
      <c r="C95" s="515"/>
      <c r="D95" s="515"/>
      <c r="E95" s="515"/>
      <c r="F95" s="515"/>
      <c r="G95" s="515"/>
      <c r="H95" s="515"/>
      <c r="I95" s="535"/>
      <c r="J95" s="535"/>
      <c r="K95" s="535"/>
      <c r="L95" s="535"/>
      <c r="M95" s="535"/>
      <c r="N95" s="1616">
        <f t="shared" si="1"/>
        <v>0</v>
      </c>
      <c r="O95" s="536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</row>
    <row r="96" spans="1:43" s="112" customFormat="1" ht="0.2" customHeight="1" x14ac:dyDescent="0.2">
      <c r="A96" s="443"/>
      <c r="B96" s="440" t="s">
        <v>391</v>
      </c>
      <c r="C96" s="381"/>
      <c r="D96" s="381"/>
      <c r="E96" s="381"/>
      <c r="F96" s="381"/>
      <c r="G96" s="381"/>
      <c r="H96" s="381"/>
      <c r="I96" s="380"/>
      <c r="J96" s="380"/>
      <c r="K96" s="380"/>
      <c r="L96" s="380"/>
      <c r="M96" s="380"/>
      <c r="N96" s="1619">
        <f t="shared" si="1"/>
        <v>0</v>
      </c>
      <c r="O96" s="536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</row>
    <row r="97" spans="1:43" s="112" customFormat="1" ht="25.5" x14ac:dyDescent="0.2">
      <c r="A97" s="1404" t="s">
        <v>301</v>
      </c>
      <c r="B97" s="1685" t="s">
        <v>302</v>
      </c>
      <c r="C97" s="381"/>
      <c r="D97" s="381"/>
      <c r="E97" s="381"/>
      <c r="F97" s="381"/>
      <c r="G97" s="381"/>
      <c r="H97" s="381"/>
      <c r="I97" s="380"/>
      <c r="J97" s="380"/>
      <c r="K97" s="380"/>
      <c r="L97" s="380"/>
      <c r="M97" s="380"/>
      <c r="N97" s="1619"/>
      <c r="O97" s="536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</row>
    <row r="98" spans="1:43" s="1453" customFormat="1" ht="13.5" thickBot="1" x14ac:dyDescent="0.25">
      <c r="A98" s="518"/>
      <c r="B98" s="638" t="s">
        <v>392</v>
      </c>
      <c r="C98" s="559"/>
      <c r="D98" s="559"/>
      <c r="E98" s="559"/>
      <c r="F98" s="559"/>
      <c r="G98" s="559"/>
      <c r="H98" s="559"/>
      <c r="I98" s="570"/>
      <c r="J98" s="570">
        <v>169055</v>
      </c>
      <c r="K98" s="570"/>
      <c r="L98" s="570"/>
      <c r="M98" s="570"/>
      <c r="N98" s="1615">
        <f t="shared" si="1"/>
        <v>169055</v>
      </c>
      <c r="O98" s="536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</row>
    <row r="99" spans="1:43" s="112" customFormat="1" ht="0.2" customHeight="1" x14ac:dyDescent="0.2">
      <c r="A99" s="1517"/>
      <c r="B99" s="1682" t="s">
        <v>393</v>
      </c>
      <c r="C99" s="515"/>
      <c r="D99" s="515"/>
      <c r="E99" s="515"/>
      <c r="F99" s="515"/>
      <c r="G99" s="515"/>
      <c r="H99" s="515"/>
      <c r="I99" s="535"/>
      <c r="J99" s="535"/>
      <c r="K99" s="535"/>
      <c r="L99" s="535"/>
      <c r="M99" s="535"/>
      <c r="N99" s="1616">
        <f t="shared" si="1"/>
        <v>0</v>
      </c>
      <c r="O99" s="536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</row>
    <row r="100" spans="1:43" s="112" customFormat="1" ht="0.2" customHeight="1" x14ac:dyDescent="0.2">
      <c r="A100" s="443"/>
      <c r="B100" s="440" t="s">
        <v>391</v>
      </c>
      <c r="C100" s="381"/>
      <c r="D100" s="381"/>
      <c r="E100" s="381"/>
      <c r="F100" s="381"/>
      <c r="G100" s="381"/>
      <c r="H100" s="381"/>
      <c r="I100" s="380"/>
      <c r="J100" s="380"/>
      <c r="K100" s="380"/>
      <c r="L100" s="380"/>
      <c r="M100" s="380"/>
      <c r="N100" s="1619">
        <f t="shared" si="1"/>
        <v>0</v>
      </c>
      <c r="O100" s="536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</row>
    <row r="101" spans="1:43" s="112" customFormat="1" x14ac:dyDescent="0.2">
      <c r="A101" s="1404" t="s">
        <v>313</v>
      </c>
      <c r="B101" s="1685" t="s">
        <v>314</v>
      </c>
      <c r="C101" s="381"/>
      <c r="D101" s="381"/>
      <c r="E101" s="381"/>
      <c r="F101" s="381"/>
      <c r="G101" s="381"/>
      <c r="H101" s="381"/>
      <c r="I101" s="380"/>
      <c r="J101" s="380"/>
      <c r="K101" s="380"/>
      <c r="L101" s="380"/>
      <c r="M101" s="380"/>
      <c r="N101" s="1619"/>
      <c r="O101" s="536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</row>
    <row r="102" spans="1:43" s="1453" customFormat="1" ht="13.5" thickBot="1" x14ac:dyDescent="0.25">
      <c r="A102" s="518"/>
      <c r="B102" s="638" t="s">
        <v>392</v>
      </c>
      <c r="C102" s="559"/>
      <c r="D102" s="559"/>
      <c r="E102" s="559">
        <v>50</v>
      </c>
      <c r="F102" s="559"/>
      <c r="G102" s="559"/>
      <c r="H102" s="559">
        <v>127</v>
      </c>
      <c r="I102" s="570"/>
      <c r="J102" s="570"/>
      <c r="K102" s="570"/>
      <c r="L102" s="570"/>
      <c r="M102" s="570"/>
      <c r="N102" s="1615">
        <f t="shared" si="1"/>
        <v>177</v>
      </c>
      <c r="O102" s="536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</row>
    <row r="103" spans="1:43" s="112" customFormat="1" ht="0.2" customHeight="1" x14ac:dyDescent="0.2">
      <c r="A103" s="1517"/>
      <c r="B103" s="1682" t="s">
        <v>393</v>
      </c>
      <c r="C103" s="515"/>
      <c r="D103" s="515"/>
      <c r="E103" s="515"/>
      <c r="F103" s="515"/>
      <c r="G103" s="515"/>
      <c r="H103" s="515"/>
      <c r="I103" s="535"/>
      <c r="J103" s="535"/>
      <c r="K103" s="535"/>
      <c r="L103" s="535"/>
      <c r="M103" s="535"/>
      <c r="N103" s="1616">
        <f t="shared" si="1"/>
        <v>0</v>
      </c>
      <c r="O103" s="536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</row>
    <row r="104" spans="1:43" s="112" customFormat="1" ht="0.2" customHeight="1" x14ac:dyDescent="0.2">
      <c r="A104" s="443"/>
      <c r="B104" s="440" t="s">
        <v>391</v>
      </c>
      <c r="C104" s="381"/>
      <c r="D104" s="381"/>
      <c r="E104" s="381"/>
      <c r="F104" s="381"/>
      <c r="G104" s="381"/>
      <c r="H104" s="381"/>
      <c r="I104" s="380"/>
      <c r="J104" s="380"/>
      <c r="K104" s="380"/>
      <c r="L104" s="380"/>
      <c r="M104" s="380"/>
      <c r="N104" s="1619">
        <f t="shared" si="1"/>
        <v>0</v>
      </c>
      <c r="O104" s="536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</row>
    <row r="105" spans="1:43" s="112" customFormat="1" x14ac:dyDescent="0.2">
      <c r="A105" s="1404" t="s">
        <v>317</v>
      </c>
      <c r="B105" s="1685" t="s">
        <v>318</v>
      </c>
      <c r="C105" s="381"/>
      <c r="D105" s="381"/>
      <c r="E105" s="381"/>
      <c r="F105" s="381"/>
      <c r="G105" s="381"/>
      <c r="H105" s="381"/>
      <c r="I105" s="380"/>
      <c r="J105" s="380"/>
      <c r="K105" s="380"/>
      <c r="L105" s="380"/>
      <c r="M105" s="380"/>
      <c r="N105" s="1619"/>
      <c r="O105" s="536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</row>
    <row r="106" spans="1:43" s="1453" customFormat="1" ht="13.5" thickBot="1" x14ac:dyDescent="0.25">
      <c r="A106" s="518"/>
      <c r="B106" s="638" t="s">
        <v>392</v>
      </c>
      <c r="C106" s="559">
        <v>500</v>
      </c>
      <c r="D106" s="559">
        <v>251</v>
      </c>
      <c r="E106" s="559">
        <v>65</v>
      </c>
      <c r="F106" s="559"/>
      <c r="G106" s="559"/>
      <c r="H106" s="559"/>
      <c r="I106" s="570"/>
      <c r="J106" s="570"/>
      <c r="K106" s="570"/>
      <c r="L106" s="570"/>
      <c r="M106" s="570"/>
      <c r="N106" s="1615">
        <f t="shared" si="1"/>
        <v>816</v>
      </c>
      <c r="O106" s="536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</row>
    <row r="107" spans="1:43" s="112" customFormat="1" ht="0.2" customHeight="1" x14ac:dyDescent="0.2">
      <c r="A107" s="1517"/>
      <c r="B107" s="1682" t="s">
        <v>393</v>
      </c>
      <c r="C107" s="515"/>
      <c r="D107" s="515"/>
      <c r="E107" s="515"/>
      <c r="F107" s="515"/>
      <c r="G107" s="515"/>
      <c r="H107" s="515"/>
      <c r="I107" s="535"/>
      <c r="J107" s="535"/>
      <c r="K107" s="535"/>
      <c r="L107" s="535"/>
      <c r="M107" s="535"/>
      <c r="N107" s="1616">
        <f t="shared" si="1"/>
        <v>0</v>
      </c>
      <c r="O107" s="536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</row>
    <row r="108" spans="1:43" s="112" customFormat="1" ht="0.2" customHeight="1" x14ac:dyDescent="0.2">
      <c r="A108" s="443"/>
      <c r="B108" s="440" t="s">
        <v>391</v>
      </c>
      <c r="C108" s="381"/>
      <c r="D108" s="381"/>
      <c r="E108" s="381"/>
      <c r="F108" s="381"/>
      <c r="G108" s="381"/>
      <c r="H108" s="381"/>
      <c r="I108" s="380"/>
      <c r="J108" s="380"/>
      <c r="K108" s="380"/>
      <c r="L108" s="380"/>
      <c r="M108" s="380"/>
      <c r="N108" s="1619">
        <f t="shared" si="1"/>
        <v>0</v>
      </c>
      <c r="O108" s="536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</row>
    <row r="109" spans="1:43" s="112" customFormat="1" ht="25.5" x14ac:dyDescent="0.2">
      <c r="A109" s="1404" t="s">
        <v>315</v>
      </c>
      <c r="B109" s="1685" t="s">
        <v>316</v>
      </c>
      <c r="C109" s="381"/>
      <c r="D109" s="381"/>
      <c r="E109" s="381"/>
      <c r="F109" s="381"/>
      <c r="G109" s="381"/>
      <c r="H109" s="381"/>
      <c r="I109" s="380"/>
      <c r="J109" s="380"/>
      <c r="K109" s="380"/>
      <c r="L109" s="380"/>
      <c r="M109" s="380"/>
      <c r="N109" s="1619"/>
      <c r="O109" s="536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</row>
    <row r="110" spans="1:43" s="1453" customFormat="1" ht="13.5" thickBot="1" x14ac:dyDescent="0.25">
      <c r="A110" s="518"/>
      <c r="B110" s="638" t="s">
        <v>392</v>
      </c>
      <c r="C110" s="559"/>
      <c r="D110" s="559"/>
      <c r="E110" s="559"/>
      <c r="F110" s="559"/>
      <c r="G110" s="559"/>
      <c r="H110" s="559"/>
      <c r="I110" s="570"/>
      <c r="J110" s="570"/>
      <c r="K110" s="570"/>
      <c r="L110" s="570"/>
      <c r="M110" s="570"/>
      <c r="N110" s="1615">
        <f t="shared" si="1"/>
        <v>0</v>
      </c>
      <c r="O110" s="536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</row>
    <row r="111" spans="1:43" s="112" customFormat="1" ht="0.2" customHeight="1" x14ac:dyDescent="0.2">
      <c r="A111" s="1517"/>
      <c r="B111" s="1682" t="s">
        <v>393</v>
      </c>
      <c r="C111" s="515"/>
      <c r="D111" s="515"/>
      <c r="E111" s="515"/>
      <c r="F111" s="515"/>
      <c r="G111" s="515"/>
      <c r="H111" s="515"/>
      <c r="I111" s="535"/>
      <c r="J111" s="535"/>
      <c r="K111" s="535"/>
      <c r="L111" s="535"/>
      <c r="M111" s="535"/>
      <c r="N111" s="1616">
        <f t="shared" si="1"/>
        <v>0</v>
      </c>
      <c r="O111" s="536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</row>
    <row r="112" spans="1:43" s="112" customFormat="1" ht="0.2" customHeight="1" x14ac:dyDescent="0.2">
      <c r="A112" s="443"/>
      <c r="B112" s="440" t="s">
        <v>391</v>
      </c>
      <c r="C112" s="381"/>
      <c r="D112" s="381"/>
      <c r="E112" s="381"/>
      <c r="F112" s="381"/>
      <c r="G112" s="381"/>
      <c r="H112" s="381"/>
      <c r="I112" s="380"/>
      <c r="J112" s="380"/>
      <c r="K112" s="380"/>
      <c r="L112" s="380"/>
      <c r="M112" s="380"/>
      <c r="N112" s="1619">
        <f t="shared" si="1"/>
        <v>0</v>
      </c>
      <c r="O112" s="536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</row>
    <row r="113" spans="1:43" s="112" customFormat="1" ht="15.75" customHeight="1" x14ac:dyDescent="0.2">
      <c r="A113" s="1404" t="s">
        <v>426</v>
      </c>
      <c r="B113" s="1685" t="s">
        <v>443</v>
      </c>
      <c r="C113" s="381"/>
      <c r="D113" s="381"/>
      <c r="E113" s="381"/>
      <c r="F113" s="381"/>
      <c r="G113" s="381"/>
      <c r="H113" s="381"/>
      <c r="I113" s="380"/>
      <c r="J113" s="380"/>
      <c r="K113" s="380"/>
      <c r="L113" s="380"/>
      <c r="M113" s="380"/>
      <c r="N113" s="1619"/>
      <c r="O113" s="536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</row>
    <row r="114" spans="1:43" s="1453" customFormat="1" ht="15" customHeight="1" thickBot="1" x14ac:dyDescent="0.25">
      <c r="A114" s="518"/>
      <c r="B114" s="638" t="s">
        <v>392</v>
      </c>
      <c r="C114" s="559"/>
      <c r="D114" s="559"/>
      <c r="E114" s="559">
        <v>29547</v>
      </c>
      <c r="F114" s="559"/>
      <c r="G114" s="559"/>
      <c r="H114" s="559"/>
      <c r="I114" s="570"/>
      <c r="J114" s="570"/>
      <c r="K114" s="570"/>
      <c r="L114" s="570"/>
      <c r="M114" s="570"/>
      <c r="N114" s="1615">
        <f t="shared" si="1"/>
        <v>29547</v>
      </c>
      <c r="O114" s="536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</row>
    <row r="115" spans="1:43" s="112" customFormat="1" ht="0.2" customHeight="1" x14ac:dyDescent="0.2">
      <c r="A115" s="1517"/>
      <c r="B115" s="1682" t="s">
        <v>393</v>
      </c>
      <c r="C115" s="515"/>
      <c r="D115" s="515"/>
      <c r="E115" s="515"/>
      <c r="F115" s="515"/>
      <c r="G115" s="515"/>
      <c r="H115" s="515"/>
      <c r="I115" s="535"/>
      <c r="J115" s="535"/>
      <c r="K115" s="535"/>
      <c r="L115" s="535"/>
      <c r="M115" s="535"/>
      <c r="N115" s="1616">
        <f t="shared" si="1"/>
        <v>0</v>
      </c>
      <c r="O115" s="536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</row>
    <row r="116" spans="1:43" s="112" customFormat="1" ht="0.75" customHeight="1" x14ac:dyDescent="0.2">
      <c r="A116" s="443"/>
      <c r="B116" s="440" t="s">
        <v>391</v>
      </c>
      <c r="C116" s="381"/>
      <c r="D116" s="381"/>
      <c r="E116" s="381"/>
      <c r="F116" s="381"/>
      <c r="G116" s="381"/>
      <c r="H116" s="381"/>
      <c r="I116" s="380"/>
      <c r="J116" s="380"/>
      <c r="K116" s="380"/>
      <c r="L116" s="380"/>
      <c r="M116" s="380"/>
      <c r="N116" s="1619">
        <f t="shared" si="1"/>
        <v>0</v>
      </c>
      <c r="O116" s="536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</row>
    <row r="117" spans="1:43" s="112" customFormat="1" ht="15" customHeight="1" x14ac:dyDescent="0.2">
      <c r="A117" s="1404" t="s">
        <v>593</v>
      </c>
      <c r="B117" s="637" t="s">
        <v>595</v>
      </c>
      <c r="C117" s="381"/>
      <c r="D117" s="381"/>
      <c r="E117" s="381"/>
      <c r="F117" s="381"/>
      <c r="G117" s="381"/>
      <c r="H117" s="381"/>
      <c r="I117" s="380"/>
      <c r="J117" s="380"/>
      <c r="K117" s="380"/>
      <c r="L117" s="380"/>
      <c r="M117" s="380"/>
      <c r="N117" s="1619"/>
      <c r="O117" s="536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</row>
    <row r="118" spans="1:43" s="112" customFormat="1" ht="15" customHeight="1" thickBot="1" x14ac:dyDescent="0.25">
      <c r="A118" s="518"/>
      <c r="B118" s="638" t="s">
        <v>392</v>
      </c>
      <c r="C118" s="559"/>
      <c r="D118" s="559"/>
      <c r="E118" s="559">
        <v>489</v>
      </c>
      <c r="F118" s="559"/>
      <c r="G118" s="559"/>
      <c r="H118" s="559"/>
      <c r="I118" s="570"/>
      <c r="J118" s="570"/>
      <c r="K118" s="570"/>
      <c r="L118" s="570"/>
      <c r="M118" s="570"/>
      <c r="N118" s="1778">
        <f>SUM(C118:M118)</f>
        <v>489</v>
      </c>
      <c r="O118" s="536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</row>
    <row r="119" spans="1:43" s="112" customFormat="1" ht="15.75" customHeight="1" x14ac:dyDescent="0.2">
      <c r="A119" s="1776" t="s">
        <v>284</v>
      </c>
      <c r="B119" s="1777" t="s">
        <v>117</v>
      </c>
      <c r="C119" s="515"/>
      <c r="D119" s="515"/>
      <c r="E119" s="515"/>
      <c r="F119" s="515"/>
      <c r="G119" s="515"/>
      <c r="H119" s="515"/>
      <c r="I119" s="535"/>
      <c r="J119" s="535"/>
      <c r="K119" s="535"/>
      <c r="L119" s="535"/>
      <c r="M119" s="535"/>
      <c r="N119" s="1616"/>
      <c r="O119" s="536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</row>
    <row r="120" spans="1:43" s="1453" customFormat="1" ht="15.75" customHeight="1" thickBot="1" x14ac:dyDescent="0.25">
      <c r="A120" s="518"/>
      <c r="B120" s="638" t="s">
        <v>392</v>
      </c>
      <c r="C120" s="559"/>
      <c r="D120" s="559"/>
      <c r="E120" s="559"/>
      <c r="F120" s="559"/>
      <c r="G120" s="559"/>
      <c r="H120" s="559"/>
      <c r="I120" s="570"/>
      <c r="J120" s="570"/>
      <c r="K120" s="570"/>
      <c r="L120" s="570"/>
      <c r="M120" s="570"/>
      <c r="N120" s="1615">
        <f t="shared" si="1"/>
        <v>0</v>
      </c>
      <c r="O120" s="536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</row>
    <row r="121" spans="1:43" s="112" customFormat="1" ht="0.2" customHeight="1" x14ac:dyDescent="0.2">
      <c r="A121" s="1517"/>
      <c r="B121" s="1682" t="s">
        <v>393</v>
      </c>
      <c r="C121" s="515"/>
      <c r="D121" s="515"/>
      <c r="E121" s="515"/>
      <c r="F121" s="515"/>
      <c r="G121" s="515"/>
      <c r="H121" s="515"/>
      <c r="I121" s="535"/>
      <c r="J121" s="535"/>
      <c r="K121" s="535"/>
      <c r="L121" s="535"/>
      <c r="M121" s="535"/>
      <c r="N121" s="1616">
        <f t="shared" si="1"/>
        <v>0</v>
      </c>
      <c r="O121" s="536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</row>
    <row r="122" spans="1:43" s="112" customFormat="1" ht="0.2" customHeight="1" x14ac:dyDescent="0.2">
      <c r="A122" s="443"/>
      <c r="B122" s="440" t="s">
        <v>391</v>
      </c>
      <c r="C122" s="381"/>
      <c r="D122" s="381"/>
      <c r="E122" s="381"/>
      <c r="F122" s="381"/>
      <c r="G122" s="381"/>
      <c r="H122" s="381"/>
      <c r="I122" s="380"/>
      <c r="J122" s="380"/>
      <c r="K122" s="380"/>
      <c r="L122" s="380"/>
      <c r="M122" s="380"/>
      <c r="N122" s="1619">
        <f t="shared" si="1"/>
        <v>0</v>
      </c>
      <c r="O122" s="536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</row>
    <row r="123" spans="1:43" s="112" customFormat="1" ht="15.75" customHeight="1" x14ac:dyDescent="0.2">
      <c r="A123" s="1404" t="s">
        <v>285</v>
      </c>
      <c r="B123" s="1685" t="s">
        <v>286</v>
      </c>
      <c r="C123" s="381"/>
      <c r="D123" s="381"/>
      <c r="E123" s="381"/>
      <c r="F123" s="381"/>
      <c r="G123" s="381"/>
      <c r="H123" s="381"/>
      <c r="I123" s="380"/>
      <c r="J123" s="380"/>
      <c r="K123" s="380"/>
      <c r="L123" s="380"/>
      <c r="M123" s="380"/>
      <c r="N123" s="1619"/>
      <c r="O123" s="536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</row>
    <row r="124" spans="1:43" s="1453" customFormat="1" ht="15.75" customHeight="1" thickBot="1" x14ac:dyDescent="0.25">
      <c r="A124" s="518"/>
      <c r="B124" s="638" t="s">
        <v>392</v>
      </c>
      <c r="C124" s="559"/>
      <c r="D124" s="559"/>
      <c r="E124" s="559"/>
      <c r="F124" s="559">
        <v>24359</v>
      </c>
      <c r="G124" s="559"/>
      <c r="H124" s="559"/>
      <c r="I124" s="570"/>
      <c r="J124" s="570"/>
      <c r="K124" s="570"/>
      <c r="L124" s="570"/>
      <c r="M124" s="570"/>
      <c r="N124" s="1615">
        <f t="shared" si="1"/>
        <v>24359</v>
      </c>
      <c r="O124" s="536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</row>
    <row r="125" spans="1:43" s="112" customFormat="1" ht="0.2" customHeight="1" x14ac:dyDescent="0.2">
      <c r="A125" s="1517"/>
      <c r="B125" s="1682" t="s">
        <v>393</v>
      </c>
      <c r="C125" s="515"/>
      <c r="D125" s="515"/>
      <c r="E125" s="515"/>
      <c r="F125" s="515"/>
      <c r="G125" s="515"/>
      <c r="H125" s="515"/>
      <c r="I125" s="535"/>
      <c r="J125" s="535"/>
      <c r="K125" s="535"/>
      <c r="L125" s="535"/>
      <c r="M125" s="535"/>
      <c r="N125" s="1616">
        <f t="shared" si="1"/>
        <v>0</v>
      </c>
      <c r="O125" s="536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</row>
    <row r="126" spans="1:43" s="112" customFormat="1" ht="0.2" customHeight="1" x14ac:dyDescent="0.2">
      <c r="A126" s="443"/>
      <c r="B126" s="440" t="s">
        <v>391</v>
      </c>
      <c r="C126" s="381"/>
      <c r="D126" s="381"/>
      <c r="E126" s="381"/>
      <c r="F126" s="381"/>
      <c r="G126" s="381"/>
      <c r="H126" s="381"/>
      <c r="I126" s="380"/>
      <c r="J126" s="380"/>
      <c r="K126" s="380"/>
      <c r="L126" s="380"/>
      <c r="M126" s="380"/>
      <c r="N126" s="1619">
        <f t="shared" si="1"/>
        <v>0</v>
      </c>
      <c r="O126" s="536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</row>
    <row r="127" spans="1:43" s="112" customFormat="1" ht="24" customHeight="1" x14ac:dyDescent="0.2">
      <c r="A127" s="1404" t="s">
        <v>287</v>
      </c>
      <c r="B127" s="1685" t="s">
        <v>288</v>
      </c>
      <c r="C127" s="381"/>
      <c r="D127" s="381"/>
      <c r="E127" s="381"/>
      <c r="F127" s="381"/>
      <c r="G127" s="381"/>
      <c r="H127" s="381"/>
      <c r="I127" s="380"/>
      <c r="J127" s="380"/>
      <c r="K127" s="380"/>
      <c r="L127" s="380"/>
      <c r="M127" s="380"/>
      <c r="N127" s="1619"/>
      <c r="O127" s="536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</row>
    <row r="128" spans="1:43" s="1453" customFormat="1" ht="13.5" customHeight="1" thickBot="1" x14ac:dyDescent="0.25">
      <c r="A128" s="518"/>
      <c r="B128" s="638" t="s">
        <v>392</v>
      </c>
      <c r="C128" s="559"/>
      <c r="D128" s="559"/>
      <c r="E128" s="559"/>
      <c r="F128" s="559"/>
      <c r="G128" s="559"/>
      <c r="H128" s="559"/>
      <c r="I128" s="570"/>
      <c r="J128" s="570"/>
      <c r="K128" s="570"/>
      <c r="L128" s="570"/>
      <c r="M128" s="570"/>
      <c r="N128" s="1615">
        <f t="shared" si="1"/>
        <v>0</v>
      </c>
      <c r="O128" s="536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</row>
    <row r="129" spans="1:43" s="112" customFormat="1" ht="0.2" customHeight="1" x14ac:dyDescent="0.2">
      <c r="A129" s="1517"/>
      <c r="B129" s="1682" t="s">
        <v>393</v>
      </c>
      <c r="C129" s="515"/>
      <c r="D129" s="515"/>
      <c r="E129" s="515"/>
      <c r="F129" s="515"/>
      <c r="G129" s="515"/>
      <c r="H129" s="515"/>
      <c r="I129" s="535"/>
      <c r="J129" s="535"/>
      <c r="K129" s="535"/>
      <c r="L129" s="535"/>
      <c r="M129" s="535"/>
      <c r="N129" s="1616">
        <f t="shared" si="1"/>
        <v>0</v>
      </c>
      <c r="O129" s="536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</row>
    <row r="130" spans="1:43" s="112" customFormat="1" ht="0.2" customHeight="1" x14ac:dyDescent="0.2">
      <c r="A130" s="443"/>
      <c r="B130" s="440" t="s">
        <v>391</v>
      </c>
      <c r="C130" s="381"/>
      <c r="D130" s="381"/>
      <c r="E130" s="381"/>
      <c r="F130" s="381"/>
      <c r="G130" s="381"/>
      <c r="H130" s="381"/>
      <c r="I130" s="380"/>
      <c r="J130" s="380"/>
      <c r="K130" s="380"/>
      <c r="L130" s="380"/>
      <c r="M130" s="380"/>
      <c r="N130" s="1619">
        <f t="shared" si="1"/>
        <v>0</v>
      </c>
      <c r="O130" s="536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</row>
    <row r="131" spans="1:43" s="112" customFormat="1" ht="15.75" customHeight="1" x14ac:dyDescent="0.2">
      <c r="A131" s="1404" t="s">
        <v>289</v>
      </c>
      <c r="B131" s="1685" t="s">
        <v>290</v>
      </c>
      <c r="C131" s="381"/>
      <c r="D131" s="381"/>
      <c r="E131" s="381"/>
      <c r="F131" s="381"/>
      <c r="G131" s="381"/>
      <c r="H131" s="381"/>
      <c r="I131" s="380"/>
      <c r="J131" s="380"/>
      <c r="K131" s="380"/>
      <c r="L131" s="380"/>
      <c r="M131" s="380"/>
      <c r="N131" s="1619"/>
      <c r="O131" s="536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</row>
    <row r="132" spans="1:43" s="1453" customFormat="1" ht="15.75" customHeight="1" thickBot="1" x14ac:dyDescent="0.25">
      <c r="A132" s="518"/>
      <c r="B132" s="638" t="s">
        <v>392</v>
      </c>
      <c r="C132" s="559"/>
      <c r="D132" s="559"/>
      <c r="E132" s="559"/>
      <c r="F132" s="559">
        <v>8019</v>
      </c>
      <c r="G132" s="559"/>
      <c r="H132" s="559"/>
      <c r="I132" s="570"/>
      <c r="J132" s="570"/>
      <c r="K132" s="570"/>
      <c r="L132" s="570"/>
      <c r="M132" s="570"/>
      <c r="N132" s="1615">
        <f t="shared" si="1"/>
        <v>8019</v>
      </c>
      <c r="O132" s="536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</row>
    <row r="133" spans="1:43" s="112" customFormat="1" ht="0.2" customHeight="1" x14ac:dyDescent="0.2">
      <c r="A133" s="1517"/>
      <c r="B133" s="1682" t="s">
        <v>393</v>
      </c>
      <c r="C133" s="515"/>
      <c r="D133" s="515"/>
      <c r="E133" s="515"/>
      <c r="F133" s="515"/>
      <c r="G133" s="515"/>
      <c r="H133" s="515"/>
      <c r="I133" s="535"/>
      <c r="J133" s="535"/>
      <c r="K133" s="535"/>
      <c r="L133" s="535"/>
      <c r="M133" s="535"/>
      <c r="N133" s="1616">
        <f t="shared" si="1"/>
        <v>0</v>
      </c>
      <c r="O133" s="536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</row>
    <row r="134" spans="1:43" s="112" customFormat="1" ht="0.2" customHeight="1" x14ac:dyDescent="0.2">
      <c r="A134" s="443"/>
      <c r="B134" s="440" t="s">
        <v>391</v>
      </c>
      <c r="C134" s="381"/>
      <c r="D134" s="381"/>
      <c r="E134" s="381"/>
      <c r="F134" s="381"/>
      <c r="G134" s="381"/>
      <c r="H134" s="381"/>
      <c r="I134" s="380"/>
      <c r="J134" s="380"/>
      <c r="K134" s="380"/>
      <c r="L134" s="380"/>
      <c r="M134" s="380"/>
      <c r="N134" s="1619">
        <f t="shared" si="1"/>
        <v>0</v>
      </c>
      <c r="O134" s="536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</row>
    <row r="135" spans="1:43" s="112" customFormat="1" ht="15.75" customHeight="1" x14ac:dyDescent="0.2">
      <c r="A135" s="1404" t="s">
        <v>291</v>
      </c>
      <c r="B135" s="1685" t="s">
        <v>76</v>
      </c>
      <c r="C135" s="381"/>
      <c r="D135" s="381"/>
      <c r="E135" s="381"/>
      <c r="F135" s="381"/>
      <c r="G135" s="381"/>
      <c r="H135" s="381"/>
      <c r="I135" s="380"/>
      <c r="J135" s="380"/>
      <c r="K135" s="380"/>
      <c r="L135" s="380"/>
      <c r="M135" s="380"/>
      <c r="N135" s="1619"/>
      <c r="O135" s="536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</row>
    <row r="136" spans="1:43" s="1453" customFormat="1" ht="15.75" customHeight="1" thickBot="1" x14ac:dyDescent="0.25">
      <c r="A136" s="518"/>
      <c r="B136" s="638" t="s">
        <v>392</v>
      </c>
      <c r="C136" s="559"/>
      <c r="D136" s="559"/>
      <c r="E136" s="559"/>
      <c r="F136" s="559">
        <v>3762</v>
      </c>
      <c r="G136" s="559"/>
      <c r="H136" s="559"/>
      <c r="I136" s="570"/>
      <c r="J136" s="570"/>
      <c r="K136" s="570"/>
      <c r="L136" s="570"/>
      <c r="M136" s="570"/>
      <c r="N136" s="1615">
        <f t="shared" si="1"/>
        <v>3762</v>
      </c>
      <c r="O136" s="536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</row>
    <row r="137" spans="1:43" s="112" customFormat="1" ht="0.2" customHeight="1" x14ac:dyDescent="0.2">
      <c r="A137" s="1517"/>
      <c r="B137" s="1682" t="s">
        <v>393</v>
      </c>
      <c r="C137" s="515"/>
      <c r="D137" s="515"/>
      <c r="E137" s="515"/>
      <c r="F137" s="515"/>
      <c r="G137" s="515"/>
      <c r="H137" s="515"/>
      <c r="I137" s="535"/>
      <c r="J137" s="535"/>
      <c r="K137" s="535"/>
      <c r="L137" s="535"/>
      <c r="M137" s="535"/>
      <c r="N137" s="1616">
        <f t="shared" si="1"/>
        <v>0</v>
      </c>
      <c r="O137" s="536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</row>
    <row r="138" spans="1:43" s="112" customFormat="1" ht="0.2" customHeight="1" x14ac:dyDescent="0.2">
      <c r="A138" s="443"/>
      <c r="B138" s="440" t="s">
        <v>391</v>
      </c>
      <c r="C138" s="381"/>
      <c r="D138" s="381"/>
      <c r="E138" s="381"/>
      <c r="F138" s="381"/>
      <c r="G138" s="381"/>
      <c r="H138" s="381"/>
      <c r="I138" s="380"/>
      <c r="J138" s="380"/>
      <c r="K138" s="380"/>
      <c r="L138" s="380"/>
      <c r="M138" s="380"/>
      <c r="N138" s="1619">
        <f t="shared" si="1"/>
        <v>0</v>
      </c>
      <c r="O138" s="536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</row>
    <row r="139" spans="1:43" s="112" customFormat="1" ht="15.75" customHeight="1" x14ac:dyDescent="0.2">
      <c r="A139" s="1404" t="s">
        <v>508</v>
      </c>
      <c r="B139" s="637" t="s">
        <v>509</v>
      </c>
      <c r="C139" s="381"/>
      <c r="D139" s="381"/>
      <c r="E139" s="381"/>
      <c r="F139" s="381"/>
      <c r="G139" s="381"/>
      <c r="H139" s="381"/>
      <c r="I139" s="380"/>
      <c r="J139" s="380"/>
      <c r="K139" s="380"/>
      <c r="L139" s="380"/>
      <c r="M139" s="380"/>
      <c r="N139" s="1619"/>
      <c r="O139" s="536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</row>
    <row r="140" spans="1:43" s="1453" customFormat="1" ht="15.75" customHeight="1" thickBot="1" x14ac:dyDescent="0.25">
      <c r="A140" s="518"/>
      <c r="B140" s="638" t="s">
        <v>392</v>
      </c>
      <c r="C140" s="559">
        <v>24</v>
      </c>
      <c r="D140" s="559"/>
      <c r="E140" s="559"/>
      <c r="F140" s="559"/>
      <c r="G140" s="559"/>
      <c r="H140" s="559"/>
      <c r="I140" s="570"/>
      <c r="J140" s="570"/>
      <c r="K140" s="570"/>
      <c r="L140" s="570"/>
      <c r="M140" s="570"/>
      <c r="N140" s="1615">
        <f>SUM(C140:M140)</f>
        <v>24</v>
      </c>
      <c r="O140" s="536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</row>
    <row r="141" spans="1:43" s="112" customFormat="1" ht="0.2" customHeight="1" x14ac:dyDescent="0.2">
      <c r="A141" s="1517"/>
      <c r="B141" s="1682" t="s">
        <v>393</v>
      </c>
      <c r="C141" s="515"/>
      <c r="D141" s="515"/>
      <c r="E141" s="515"/>
      <c r="F141" s="515"/>
      <c r="G141" s="515"/>
      <c r="H141" s="515"/>
      <c r="I141" s="535"/>
      <c r="J141" s="535"/>
      <c r="K141" s="535"/>
      <c r="L141" s="535"/>
      <c r="M141" s="535"/>
      <c r="N141" s="1616"/>
      <c r="O141" s="536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</row>
    <row r="142" spans="1:43" s="112" customFormat="1" ht="0.2" customHeight="1" x14ac:dyDescent="0.2">
      <c r="A142" s="443"/>
      <c r="B142" s="440" t="s">
        <v>391</v>
      </c>
      <c r="C142" s="381"/>
      <c r="D142" s="381"/>
      <c r="E142" s="381"/>
      <c r="F142" s="381"/>
      <c r="G142" s="381"/>
      <c r="H142" s="381"/>
      <c r="I142" s="380"/>
      <c r="J142" s="380"/>
      <c r="K142" s="380"/>
      <c r="L142" s="380"/>
      <c r="M142" s="380"/>
      <c r="N142" s="1619">
        <f>SUM(C142:L142)</f>
        <v>0</v>
      </c>
      <c r="O142" s="536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</row>
    <row r="143" spans="1:43" s="112" customFormat="1" ht="22.5" customHeight="1" x14ac:dyDescent="0.2">
      <c r="A143" s="1404" t="s">
        <v>292</v>
      </c>
      <c r="B143" s="1685" t="s">
        <v>293</v>
      </c>
      <c r="C143" s="381"/>
      <c r="D143" s="381"/>
      <c r="E143" s="381"/>
      <c r="F143" s="381"/>
      <c r="G143" s="381"/>
      <c r="H143" s="381"/>
      <c r="I143" s="380"/>
      <c r="J143" s="380"/>
      <c r="K143" s="380"/>
      <c r="L143" s="380"/>
      <c r="M143" s="380"/>
      <c r="N143" s="1619"/>
      <c r="O143" s="536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</row>
    <row r="144" spans="1:43" s="1453" customFormat="1" ht="14.25" customHeight="1" thickBot="1" x14ac:dyDescent="0.25">
      <c r="A144" s="518"/>
      <c r="B144" s="638" t="s">
        <v>392</v>
      </c>
      <c r="C144" s="559"/>
      <c r="D144" s="559"/>
      <c r="E144" s="559"/>
      <c r="F144" s="559">
        <v>14361</v>
      </c>
      <c r="G144" s="559"/>
      <c r="H144" s="559"/>
      <c r="I144" s="570"/>
      <c r="J144" s="570"/>
      <c r="K144" s="570"/>
      <c r="L144" s="570"/>
      <c r="M144" s="570"/>
      <c r="N144" s="1615">
        <f t="shared" ref="N144:N154" si="2">SUM(C144:M144)</f>
        <v>14361</v>
      </c>
      <c r="O144" s="536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</row>
    <row r="145" spans="1:43" s="112" customFormat="1" ht="0.2" customHeight="1" x14ac:dyDescent="0.2">
      <c r="A145" s="1517"/>
      <c r="B145" s="1682" t="s">
        <v>393</v>
      </c>
      <c r="C145" s="515"/>
      <c r="D145" s="515"/>
      <c r="E145" s="515"/>
      <c r="F145" s="515"/>
      <c r="G145" s="515"/>
      <c r="H145" s="515"/>
      <c r="I145" s="535"/>
      <c r="J145" s="535"/>
      <c r="K145" s="535"/>
      <c r="L145" s="535"/>
      <c r="M145" s="535"/>
      <c r="N145" s="1616">
        <f t="shared" si="2"/>
        <v>0</v>
      </c>
      <c r="O145" s="536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</row>
    <row r="146" spans="1:43" s="112" customFormat="1" ht="0.2" customHeight="1" x14ac:dyDescent="0.2">
      <c r="A146" s="443"/>
      <c r="B146" s="440" t="s">
        <v>391</v>
      </c>
      <c r="C146" s="381"/>
      <c r="D146" s="381"/>
      <c r="E146" s="381"/>
      <c r="F146" s="381"/>
      <c r="G146" s="381"/>
      <c r="H146" s="381"/>
      <c r="I146" s="380"/>
      <c r="J146" s="380"/>
      <c r="K146" s="380"/>
      <c r="L146" s="380"/>
      <c r="M146" s="380"/>
      <c r="N146" s="1619">
        <f t="shared" si="2"/>
        <v>0</v>
      </c>
      <c r="O146" s="536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</row>
    <row r="147" spans="1:43" s="112" customFormat="1" x14ac:dyDescent="0.2">
      <c r="A147" s="1404" t="s">
        <v>298</v>
      </c>
      <c r="B147" s="1685" t="s">
        <v>112</v>
      </c>
      <c r="C147" s="381"/>
      <c r="D147" s="381"/>
      <c r="E147" s="381"/>
      <c r="F147" s="381"/>
      <c r="G147" s="381"/>
      <c r="H147" s="381"/>
      <c r="I147" s="380"/>
      <c r="J147" s="380"/>
      <c r="K147" s="380"/>
      <c r="L147" s="380"/>
      <c r="M147" s="380"/>
      <c r="N147" s="1619"/>
      <c r="O147" s="536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</row>
    <row r="148" spans="1:43" s="1453" customFormat="1" ht="13.5" thickBot="1" x14ac:dyDescent="0.25">
      <c r="A148" s="518"/>
      <c r="B148" s="638" t="s">
        <v>392</v>
      </c>
      <c r="C148" s="559"/>
      <c r="D148" s="559"/>
      <c r="E148" s="559"/>
      <c r="F148" s="559"/>
      <c r="G148" s="559"/>
      <c r="H148" s="559"/>
      <c r="I148" s="570"/>
      <c r="J148" s="570"/>
      <c r="K148" s="570"/>
      <c r="L148" s="570"/>
      <c r="M148" s="570"/>
      <c r="N148" s="1615">
        <f t="shared" si="2"/>
        <v>0</v>
      </c>
      <c r="O148" s="536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</row>
    <row r="149" spans="1:43" s="112" customFormat="1" ht="0.2" customHeight="1" x14ac:dyDescent="0.2">
      <c r="A149" s="1517"/>
      <c r="B149" s="1682" t="s">
        <v>393</v>
      </c>
      <c r="C149" s="515"/>
      <c r="D149" s="515"/>
      <c r="E149" s="515"/>
      <c r="F149" s="515"/>
      <c r="G149" s="515"/>
      <c r="H149" s="515"/>
      <c r="I149" s="535"/>
      <c r="J149" s="535"/>
      <c r="K149" s="535"/>
      <c r="L149" s="535"/>
      <c r="M149" s="535"/>
      <c r="N149" s="1616">
        <f t="shared" si="2"/>
        <v>0</v>
      </c>
      <c r="O149" s="536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</row>
    <row r="150" spans="1:43" s="112" customFormat="1" ht="0.2" customHeight="1" x14ac:dyDescent="0.2">
      <c r="A150" s="443"/>
      <c r="B150" s="440" t="s">
        <v>391</v>
      </c>
      <c r="C150" s="381"/>
      <c r="D150" s="381"/>
      <c r="E150" s="381"/>
      <c r="F150" s="381"/>
      <c r="G150" s="381"/>
      <c r="H150" s="381"/>
      <c r="I150" s="380"/>
      <c r="J150" s="380"/>
      <c r="K150" s="380"/>
      <c r="L150" s="380"/>
      <c r="M150" s="380"/>
      <c r="N150" s="1619">
        <f t="shared" si="2"/>
        <v>0</v>
      </c>
      <c r="O150" s="536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</row>
    <row r="151" spans="1:43" s="112" customFormat="1" x14ac:dyDescent="0.2">
      <c r="A151" s="1404" t="s">
        <v>299</v>
      </c>
      <c r="B151" s="1685" t="s">
        <v>86</v>
      </c>
      <c r="C151" s="381"/>
      <c r="D151" s="381"/>
      <c r="E151" s="381"/>
      <c r="F151" s="381"/>
      <c r="G151" s="381"/>
      <c r="H151" s="381"/>
      <c r="I151" s="380"/>
      <c r="J151" s="380"/>
      <c r="K151" s="380"/>
      <c r="L151" s="380"/>
      <c r="M151" s="380"/>
      <c r="N151" s="1619"/>
      <c r="O151" s="536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</row>
    <row r="152" spans="1:43" s="112" customFormat="1" ht="13.5" thickBot="1" x14ac:dyDescent="0.25">
      <c r="A152" s="518"/>
      <c r="B152" s="638" t="s">
        <v>392</v>
      </c>
      <c r="C152" s="559"/>
      <c r="D152" s="559"/>
      <c r="E152" s="559"/>
      <c r="F152" s="559"/>
      <c r="G152" s="559"/>
      <c r="H152" s="559"/>
      <c r="I152" s="570"/>
      <c r="J152" s="570"/>
      <c r="K152" s="570">
        <f>65466-385-300-330</f>
        <v>64451</v>
      </c>
      <c r="L152" s="570">
        <v>20400</v>
      </c>
      <c r="M152" s="570"/>
      <c r="N152" s="1615">
        <f t="shared" si="2"/>
        <v>84851</v>
      </c>
      <c r="O152" s="536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</row>
    <row r="153" spans="1:43" s="112" customFormat="1" ht="0.2" customHeight="1" thickBot="1" x14ac:dyDescent="0.25">
      <c r="A153" s="1517"/>
      <c r="B153" s="1682" t="s">
        <v>393</v>
      </c>
      <c r="C153" s="563"/>
      <c r="D153" s="515"/>
      <c r="E153" s="515"/>
      <c r="F153" s="515"/>
      <c r="G153" s="515"/>
      <c r="H153" s="515"/>
      <c r="I153" s="535"/>
      <c r="J153" s="535"/>
      <c r="K153" s="535">
        <f>54302-31644</f>
        <v>22658</v>
      </c>
      <c r="L153" s="535">
        <f>L152-35350</f>
        <v>-14950</v>
      </c>
      <c r="M153" s="535"/>
      <c r="N153" s="1616">
        <f t="shared" si="2"/>
        <v>7708</v>
      </c>
      <c r="O153" s="536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</row>
    <row r="154" spans="1:43" s="112" customFormat="1" ht="0.2" customHeight="1" thickBot="1" x14ac:dyDescent="0.25">
      <c r="A154" s="518"/>
      <c r="B154" s="638" t="s">
        <v>391</v>
      </c>
      <c r="C154" s="569"/>
      <c r="D154" s="559"/>
      <c r="E154" s="559"/>
      <c r="F154" s="559"/>
      <c r="G154" s="559"/>
      <c r="H154" s="559"/>
      <c r="I154" s="570"/>
      <c r="J154" s="570"/>
      <c r="K154" s="570"/>
      <c r="L154" s="570"/>
      <c r="M154" s="570"/>
      <c r="N154" s="1619">
        <f t="shared" si="2"/>
        <v>0</v>
      </c>
      <c r="O154" s="536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</row>
    <row r="155" spans="1:43" s="112" customFormat="1" x14ac:dyDescent="0.2">
      <c r="A155" s="640"/>
      <c r="B155" s="641" t="s">
        <v>486</v>
      </c>
      <c r="C155" s="642">
        <f>C6+C14+C22+C26+C30+C34+C38+C42+C46+C50+C58+C62+C66+C70+C74+C78+C82+C86+C90+C94+C98+C102+C106+C110+C114+C120+C124+C128+C132+C136+C144+C148+C152+C54+C140+C18</f>
        <v>38491</v>
      </c>
      <c r="D155" s="642">
        <f>D6+D14+D22+D26+D30+D34+D38+D42+D46+D50+D58+D62+D66+D70+D74+D78+D82+D86+D90+D94+D98+D102+D106+D110+D114+D120+D124+D128+D132+D136+D144+D148+D152+D54</f>
        <v>12311</v>
      </c>
      <c r="E155" s="642">
        <f>E6+E14+E22+E26+E30+E34+E38+E42+E46+E50+E58+E62+E66+E70+E74+E78+E82+E86+E90+E94+E98+E102+E106+E110+E114+E120+E124+E128+E132+E136+E144+E148+E152+E54+E10+E118</f>
        <v>164011</v>
      </c>
      <c r="F155" s="642">
        <f t="shared" ref="F155:K155" si="3">F6+F14+F22+F26+F30+F34+F38+F42+F46+F50+F58+F62+F66+F70+F74+F78+F82+F86+F90+F94+F98+F102+F106+F110+F114+F120+F124+F128+F132+F136+F144+F148+F152+F54</f>
        <v>50501</v>
      </c>
      <c r="G155" s="642">
        <f t="shared" si="3"/>
        <v>227360</v>
      </c>
      <c r="H155" s="642">
        <f t="shared" si="3"/>
        <v>284087</v>
      </c>
      <c r="I155" s="642">
        <f t="shared" si="3"/>
        <v>41708</v>
      </c>
      <c r="J155" s="642">
        <f t="shared" si="3"/>
        <v>169055</v>
      </c>
      <c r="K155" s="642">
        <f t="shared" si="3"/>
        <v>64451</v>
      </c>
      <c r="L155" s="642">
        <f t="shared" ref="L155" si="4">L6+L14+L22+L26+L30+L34+L38+L42+L46+L50+L58+L62+L66+L70+L74+L78+L82+L86+L90+L94+L98+L102+L106+L110+L114+L120+L124+L128+L132+L136+L144+L148+L152+L54</f>
        <v>20400</v>
      </c>
      <c r="M155" s="642">
        <f>M6+M14+M22+M26+M30+M34+M38+M42+M46+M50+M58+M62+M66+M70+M74+M78+M82+M86+M90+M94+M98+M102+M106+M110+M114+M120+M124+M128+M132+M136+M144+M148+M152+M54+M18</f>
        <v>389113</v>
      </c>
      <c r="N155" s="1692">
        <f>N6+N14+N22+N26+N30+N34+N38+N42+N46+N50+N58+N62+N66+N70+N74+N78+N82+N86+N90+N94+N98+N102+N106+N110+N114+N120+N124+N128+N132+N136+N144+N148+N152+N54+N118+N10+N140+N18</f>
        <v>1461488</v>
      </c>
      <c r="O155" s="1611">
        <f>SUM(C155:M155)</f>
        <v>1461488</v>
      </c>
      <c r="P155" s="1505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</row>
    <row r="156" spans="1:43" s="112" customFormat="1" ht="0.2" customHeight="1" x14ac:dyDescent="0.2">
      <c r="A156" s="639"/>
      <c r="B156" s="643" t="s">
        <v>402</v>
      </c>
      <c r="C156" s="642">
        <f t="shared" ref="C156:H156" si="5">C7+C15+C23+C27+C31+C35+C39+C43+C47+C51+C59+C63+C67+C71+C75+C79+C83+C87+C91+C95+C99+C103+C107+C111+C115+C121+C125+C129+C133+C137+C145+C149+C153+C55</f>
        <v>0</v>
      </c>
      <c r="D156" s="642">
        <f t="shared" si="5"/>
        <v>0</v>
      </c>
      <c r="E156" s="642">
        <f t="shared" si="5"/>
        <v>0</v>
      </c>
      <c r="F156" s="642">
        <f t="shared" si="5"/>
        <v>0</v>
      </c>
      <c r="G156" s="642">
        <f t="shared" si="5"/>
        <v>0</v>
      </c>
      <c r="H156" s="642">
        <f t="shared" si="5"/>
        <v>0</v>
      </c>
      <c r="I156" s="642">
        <f>I7+I15+I23+I27+I31+I35+I39+I43+I47+I51+I59+I63+I67+I71+I75+I79+I83+I87+I91+I95+I99+I103+I107+I111+I115+I121+I125+I129+I133+I137+I145+I149+I153+I55+I19</f>
        <v>0</v>
      </c>
      <c r="J156" s="642">
        <f t="shared" ref="J156:L157" si="6">J7+J15+J23+J27+J31+J35+J39+J43+J47+J51+J59+J63+J67+J71+J75+J79+J83+J87+J91+J95+J99+J103+J107+J111+J115+J121+J125+J129+J133+J137+J145+J149+J153+J55</f>
        <v>0</v>
      </c>
      <c r="K156" s="642">
        <f t="shared" si="6"/>
        <v>22658</v>
      </c>
      <c r="L156" s="642">
        <f t="shared" si="6"/>
        <v>-14950</v>
      </c>
      <c r="M156" s="642">
        <f>M7+M15+M23+M27+M31+M35+M39+M43+M47+M51+M59+M63+M67+M71+M75+M79+M83+M87+M91+M95+M99+M103+M107+M111+M115+M121+M125+M129+M133+M137+M145+M149+M153+M55+M19</f>
        <v>0</v>
      </c>
      <c r="N156" s="1693">
        <f>N7+N15+N23+N27+N31+N35+N39+N43+N47+N51+N59+N63+N67+N71+N75+N79+N83+N87+N91+N95+N99+N103+N107+N111+N115+N121+N125+N129+N133+N137+N145+N149+N153+N55+N19</f>
        <v>7708</v>
      </c>
      <c r="O156" s="1611">
        <f>SUM(C156:M156)</f>
        <v>7708</v>
      </c>
      <c r="P156" s="470">
        <f>SUM(C156:M156)</f>
        <v>7708</v>
      </c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</row>
    <row r="157" spans="1:43" ht="0.2" customHeight="1" x14ac:dyDescent="0.2">
      <c r="A157" s="629"/>
      <c r="B157" s="1262" t="s">
        <v>391</v>
      </c>
      <c r="C157" s="642">
        <f>C8+C16+C24+C28+C32+C36+C40+C44+C48+C52+C60+C64+C68+C72+C76+C80+C84+C88+C92+C96+C100+C104+C108+C112+C116+C122+C126+C130+C134+C138+C146+C150+C154+C56+C142</f>
        <v>0</v>
      </c>
      <c r="D157" s="642">
        <f>D8+D16+D24+D28+D32+D36+D40+D44+D48+D52+D60+D64+D68+D72+D76+D80+D84+D88+D92+D96+D100+D104+D108+D112+D116+D122+D126+D130+D134+D138+D146+D150+D154+D56</f>
        <v>0</v>
      </c>
      <c r="E157" s="642">
        <f>E8+E16+E24+E28+E32+E36+E40+E44+E48+E52+E60+E64+E68+E72+E76+E80+E84+E88+E92+E96+E100+E104+E108+E112+E116+E122+E126+E130+E134+E138+E146+E150+E154+E56+E12+E20</f>
        <v>0</v>
      </c>
      <c r="F157" s="642">
        <f>F8+F16+F24+F28+F32+F36+F40+F44+F48+F52+F60+F64+F68+F72+F76+F80+F84+F88+F92+F96+F100+F104+F108+F112+F116+F122+F126+F130+F134+F138+F146+F150+F154+F56</f>
        <v>0</v>
      </c>
      <c r="G157" s="642">
        <f>G8+G16+G24+G28+G32+G36+G40+G44+G48+G52+G60+G64+G68+G72+G76+G80+G84+G88+G92+G96+G100+G104+G108+G112+G116+G122+G126+G130+G134+G138+G146+G150+G154+G56</f>
        <v>0</v>
      </c>
      <c r="H157" s="642">
        <f>H8+H16+H24+H28+H32+H36+H40+H44+H48+H52+H60+H64+H68+H72+H76+H80+H84+H88+H92+H96+H100+H104+H108+H112+H116+H122+H126+H130+H134+H138+H146+H150+H154+H56</f>
        <v>0</v>
      </c>
      <c r="I157" s="642">
        <f>I8+I16+I24+I28+I32+I36+I40+I44+I48+I52+I60+I64+I68+I72+I76+I80+I84+I88+I92+I96+I100+I104+I108+I112+I116+I122+I126+I130+I134+I138+I146+I150+I154+I56+I20</f>
        <v>0</v>
      </c>
      <c r="J157" s="642">
        <f t="shared" si="6"/>
        <v>0</v>
      </c>
      <c r="K157" s="642">
        <f t="shared" si="6"/>
        <v>0</v>
      </c>
      <c r="L157" s="642">
        <f t="shared" si="6"/>
        <v>0</v>
      </c>
      <c r="M157" s="642">
        <f>M8+M16+M24+M28+M32+M36+M40+M44+M48+M52+M60+M64+M68+M72+M76+M80+M84+M88+M92+M96+M100+M104+M108+M112+M116+M122+M126+M130+M134+M138+M146+M150+M154+M56+M20</f>
        <v>0</v>
      </c>
      <c r="N157" s="1693">
        <f>N8+N16+N24+N28+N32+N36+N40+N44+N48+N52+N60+N64+N68+N72+N76+N80+N84+N88+N92+N96+N100+N104+N108+N112+N116+N122+N126+N130+N134+N138+N146+N150+N154+N56+N20+N12+N142</f>
        <v>0</v>
      </c>
      <c r="P157" s="1698">
        <f>SUM(C157:M157)</f>
        <v>0</v>
      </c>
    </row>
    <row r="158" spans="1:43" ht="0.2" customHeight="1" thickBot="1" x14ac:dyDescent="0.25">
      <c r="A158" s="1261"/>
      <c r="B158" s="644" t="s">
        <v>502</v>
      </c>
      <c r="C158" s="1263" t="e">
        <f>SUM(C157/C156)</f>
        <v>#DIV/0!</v>
      </c>
      <c r="D158" s="1263" t="e">
        <f t="shared" ref="D158:N158" si="7">SUM(D157/D156)</f>
        <v>#DIV/0!</v>
      </c>
      <c r="E158" s="1263" t="e">
        <f t="shared" si="7"/>
        <v>#DIV/0!</v>
      </c>
      <c r="F158" s="1263" t="e">
        <f t="shared" si="7"/>
        <v>#DIV/0!</v>
      </c>
      <c r="G158" s="1263" t="e">
        <f t="shared" si="7"/>
        <v>#DIV/0!</v>
      </c>
      <c r="H158" s="1263" t="e">
        <f t="shared" si="7"/>
        <v>#DIV/0!</v>
      </c>
      <c r="I158" s="1263" t="e">
        <f t="shared" si="7"/>
        <v>#DIV/0!</v>
      </c>
      <c r="J158" s="1263" t="e">
        <f t="shared" si="7"/>
        <v>#DIV/0!</v>
      </c>
      <c r="K158" s="1263">
        <f t="shared" si="7"/>
        <v>0</v>
      </c>
      <c r="L158" s="1263">
        <f t="shared" si="7"/>
        <v>0</v>
      </c>
      <c r="M158" s="1263" t="e">
        <f t="shared" si="7"/>
        <v>#DIV/0!</v>
      </c>
      <c r="N158" s="1694">
        <f t="shared" si="7"/>
        <v>0</v>
      </c>
    </row>
    <row r="159" spans="1:43" ht="13.5" thickBot="1" x14ac:dyDescent="0.25">
      <c r="A159" s="632"/>
      <c r="B159" s="644"/>
      <c r="C159" s="911"/>
      <c r="D159" s="911"/>
      <c r="E159" s="911"/>
      <c r="F159" s="911"/>
      <c r="G159" s="911"/>
      <c r="H159" s="911"/>
      <c r="I159" s="911"/>
      <c r="J159" s="911"/>
      <c r="K159" s="911"/>
      <c r="L159" s="911"/>
      <c r="M159" s="911"/>
      <c r="N159" s="1695"/>
    </row>
    <row r="160" spans="1:43" x14ac:dyDescent="0.2"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99"/>
      <c r="O160" s="194"/>
    </row>
    <row r="161" spans="3:15" x14ac:dyDescent="0.2"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507"/>
      <c r="O161" s="194"/>
    </row>
    <row r="162" spans="3:15" x14ac:dyDescent="0.2"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507"/>
      <c r="O162" s="194"/>
    </row>
    <row r="163" spans="3:15" x14ac:dyDescent="0.2"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507"/>
      <c r="O163" s="194"/>
    </row>
    <row r="164" spans="3:15" x14ac:dyDescent="0.2"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507"/>
      <c r="O164" s="194"/>
    </row>
    <row r="165" spans="3:15" x14ac:dyDescent="0.2"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507"/>
      <c r="O165" s="194"/>
    </row>
    <row r="166" spans="3:15" x14ac:dyDescent="0.2"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507"/>
      <c r="O166" s="194"/>
    </row>
    <row r="167" spans="3:15" x14ac:dyDescent="0.2"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507"/>
      <c r="O167" s="194"/>
    </row>
    <row r="168" spans="3:15" x14ac:dyDescent="0.2"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507"/>
      <c r="O168" s="194"/>
    </row>
    <row r="169" spans="3:15" x14ac:dyDescent="0.2"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507"/>
      <c r="O169" s="194"/>
    </row>
    <row r="170" spans="3:15" x14ac:dyDescent="0.2"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507"/>
      <c r="O170" s="194"/>
    </row>
    <row r="171" spans="3:15" x14ac:dyDescent="0.2"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507"/>
      <c r="O171" s="194"/>
    </row>
    <row r="172" spans="3:15" x14ac:dyDescent="0.2"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507"/>
      <c r="O172" s="194"/>
    </row>
    <row r="173" spans="3:15" x14ac:dyDescent="0.2"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507"/>
      <c r="O173" s="194"/>
    </row>
    <row r="174" spans="3:15" x14ac:dyDescent="0.2"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507"/>
      <c r="O174" s="194"/>
    </row>
    <row r="175" spans="3:15" x14ac:dyDescent="0.2"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507"/>
      <c r="O175" s="194"/>
    </row>
    <row r="176" spans="3:15" x14ac:dyDescent="0.2"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507"/>
      <c r="O176" s="194"/>
    </row>
    <row r="177" spans="3:15" x14ac:dyDescent="0.2"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507"/>
      <c r="O177" s="194"/>
    </row>
    <row r="178" spans="3:15" x14ac:dyDescent="0.2"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507"/>
      <c r="O178" s="194"/>
    </row>
    <row r="179" spans="3:15" x14ac:dyDescent="0.2"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507"/>
      <c r="O179" s="194"/>
    </row>
    <row r="180" spans="3:15" x14ac:dyDescent="0.2"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507"/>
      <c r="O180" s="194"/>
    </row>
    <row r="181" spans="3:15" ht="15" customHeight="1" x14ac:dyDescent="0.2"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507"/>
      <c r="O181" s="194"/>
    </row>
    <row r="182" spans="3:15" ht="15" customHeight="1" x14ac:dyDescent="0.2"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507"/>
      <c r="O182" s="194"/>
    </row>
    <row r="183" spans="3:15" ht="15" customHeight="1" x14ac:dyDescent="0.2"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507"/>
      <c r="O183" s="194"/>
    </row>
    <row r="184" spans="3:15" ht="15" customHeight="1" x14ac:dyDescent="0.2"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507"/>
      <c r="O184" s="194"/>
    </row>
    <row r="185" spans="3:15" ht="15" customHeight="1" x14ac:dyDescent="0.2"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507"/>
      <c r="O185" s="194"/>
    </row>
    <row r="186" spans="3:15" ht="15" customHeight="1" x14ac:dyDescent="0.2"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507"/>
      <c r="O186" s="194"/>
    </row>
    <row r="187" spans="3:15" ht="15" customHeight="1" x14ac:dyDescent="0.2"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507"/>
      <c r="O187" s="194"/>
    </row>
    <row r="188" spans="3:15" ht="15" customHeight="1" x14ac:dyDescent="0.2"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507"/>
      <c r="O188" s="194"/>
    </row>
    <row r="189" spans="3:15" ht="15" customHeight="1" x14ac:dyDescent="0.2"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507"/>
      <c r="O189" s="194"/>
    </row>
    <row r="190" spans="3:15" ht="15" customHeight="1" x14ac:dyDescent="0.2"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507"/>
      <c r="O190" s="194"/>
    </row>
    <row r="191" spans="3:15" ht="15" customHeight="1" x14ac:dyDescent="0.2"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507"/>
      <c r="O191" s="194"/>
    </row>
    <row r="192" spans="3:15" ht="15" customHeight="1" x14ac:dyDescent="0.2"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507"/>
      <c r="O192" s="194"/>
    </row>
    <row r="193" spans="3:15" ht="15" customHeight="1" x14ac:dyDescent="0.2"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507"/>
      <c r="O193" s="194"/>
    </row>
    <row r="194" spans="3:15" ht="15" customHeight="1" x14ac:dyDescent="0.2"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507"/>
      <c r="O194" s="194"/>
    </row>
    <row r="195" spans="3:15" ht="15" customHeight="1" x14ac:dyDescent="0.2"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507"/>
      <c r="O195" s="194"/>
    </row>
    <row r="196" spans="3:15" ht="15" customHeight="1" x14ac:dyDescent="0.2"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507"/>
      <c r="O196" s="194"/>
    </row>
    <row r="197" spans="3:15" ht="15" customHeight="1" x14ac:dyDescent="0.2"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507"/>
      <c r="O197" s="194"/>
    </row>
    <row r="198" spans="3:15" ht="15" customHeight="1" x14ac:dyDescent="0.2"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507"/>
      <c r="O198" s="194"/>
    </row>
    <row r="199" spans="3:15" ht="15" customHeight="1" x14ac:dyDescent="0.2"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507"/>
      <c r="O199" s="194"/>
    </row>
    <row r="200" spans="3:15" ht="15" customHeight="1" x14ac:dyDescent="0.2"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507"/>
      <c r="O200" s="194"/>
    </row>
    <row r="201" spans="3:15" ht="15" customHeight="1" x14ac:dyDescent="0.2"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507"/>
      <c r="O201" s="194"/>
    </row>
    <row r="202" spans="3:15" ht="15" customHeight="1" x14ac:dyDescent="0.2"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507"/>
      <c r="O202" s="194"/>
    </row>
    <row r="203" spans="3:15" ht="15" customHeight="1" x14ac:dyDescent="0.2"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507"/>
      <c r="O203" s="194"/>
    </row>
    <row r="204" spans="3:15" ht="15" customHeight="1" x14ac:dyDescent="0.2"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507"/>
      <c r="O204" s="194"/>
    </row>
    <row r="205" spans="3:15" ht="15" customHeight="1" x14ac:dyDescent="0.2"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507"/>
      <c r="O205" s="194"/>
    </row>
    <row r="206" spans="3:15" ht="15" customHeight="1" x14ac:dyDescent="0.2"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507"/>
      <c r="O206" s="194"/>
    </row>
    <row r="207" spans="3:15" ht="15" customHeight="1" x14ac:dyDescent="0.2"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507"/>
      <c r="O207" s="194"/>
    </row>
    <row r="208" spans="3:15" ht="15" customHeight="1" x14ac:dyDescent="0.2"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507"/>
      <c r="O208" s="194"/>
    </row>
    <row r="209" spans="3:15" ht="15" customHeight="1" x14ac:dyDescent="0.2"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507"/>
      <c r="O209" s="194"/>
    </row>
    <row r="210" spans="3:15" ht="15" customHeight="1" x14ac:dyDescent="0.2"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</row>
    <row r="211" spans="3:15" ht="15" customHeight="1" x14ac:dyDescent="0.2"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</row>
    <row r="212" spans="3:15" ht="15" customHeight="1" x14ac:dyDescent="0.2"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</row>
    <row r="213" spans="3:15" ht="15" customHeight="1" x14ac:dyDescent="0.2"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</row>
    <row r="214" spans="3:15" ht="15" customHeight="1" x14ac:dyDescent="0.2"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</row>
    <row r="215" spans="3:15" ht="15" customHeight="1" x14ac:dyDescent="0.2"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</row>
    <row r="216" spans="3:15" ht="15" customHeight="1" x14ac:dyDescent="0.2"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</row>
    <row r="217" spans="3:15" ht="15" customHeight="1" x14ac:dyDescent="0.2"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</row>
    <row r="218" spans="3:15" ht="15" customHeight="1" x14ac:dyDescent="0.2"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</row>
    <row r="219" spans="3:15" ht="15" customHeight="1" x14ac:dyDescent="0.2"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</row>
    <row r="220" spans="3:15" ht="15" customHeight="1" x14ac:dyDescent="0.2"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</row>
    <row r="221" spans="3:15" ht="15" customHeight="1" x14ac:dyDescent="0.2"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</row>
    <row r="222" spans="3:15" ht="15" customHeight="1" x14ac:dyDescent="0.2"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</row>
    <row r="223" spans="3:15" ht="15" customHeight="1" x14ac:dyDescent="0.2"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</row>
    <row r="224" spans="3:15" ht="15" customHeight="1" x14ac:dyDescent="0.2"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</row>
    <row r="225" spans="3:14" ht="15" customHeight="1" x14ac:dyDescent="0.2"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</row>
    <row r="226" spans="3:14" ht="15" customHeight="1" x14ac:dyDescent="0.2"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</row>
    <row r="227" spans="3:14" ht="15" customHeight="1" x14ac:dyDescent="0.2"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</row>
    <row r="228" spans="3:14" ht="15" customHeight="1" x14ac:dyDescent="0.2"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</row>
    <row r="229" spans="3:14" ht="15" customHeight="1" x14ac:dyDescent="0.2"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</row>
    <row r="230" spans="3:14" ht="15" customHeight="1" x14ac:dyDescent="0.2"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</row>
    <row r="231" spans="3:14" ht="15" customHeight="1" x14ac:dyDescent="0.2"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</row>
    <row r="232" spans="3:14" ht="15" customHeight="1" x14ac:dyDescent="0.2"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</row>
    <row r="233" spans="3:14" ht="15" customHeight="1" x14ac:dyDescent="0.2"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</row>
    <row r="234" spans="3:14" ht="15" customHeight="1" x14ac:dyDescent="0.2"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</row>
    <row r="235" spans="3:14" ht="15" customHeight="1" x14ac:dyDescent="0.2"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</row>
    <row r="236" spans="3:14" ht="15" customHeight="1" x14ac:dyDescent="0.2"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</row>
    <row r="237" spans="3:14" ht="15" customHeight="1" x14ac:dyDescent="0.2"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</row>
    <row r="238" spans="3:14" ht="15" customHeight="1" x14ac:dyDescent="0.2"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</row>
    <row r="239" spans="3:14" ht="15" customHeight="1" x14ac:dyDescent="0.2"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</row>
    <row r="240" spans="3:14" ht="15" customHeight="1" x14ac:dyDescent="0.2"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</row>
    <row r="241" spans="3:14" ht="15" customHeight="1" x14ac:dyDescent="0.2"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</row>
    <row r="242" spans="3:14" ht="15" customHeight="1" x14ac:dyDescent="0.2"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</row>
    <row r="243" spans="3:14" ht="15" customHeight="1" x14ac:dyDescent="0.2"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</row>
    <row r="244" spans="3:14" x14ac:dyDescent="0.2"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</row>
    <row r="245" spans="3:14" x14ac:dyDescent="0.2"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</row>
    <row r="246" spans="3:14" x14ac:dyDescent="0.2"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</row>
    <row r="247" spans="3:14" x14ac:dyDescent="0.2"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</row>
    <row r="248" spans="3:14" x14ac:dyDescent="0.2"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</row>
    <row r="249" spans="3:14" x14ac:dyDescent="0.2"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</row>
    <row r="250" spans="3:14" x14ac:dyDescent="0.2"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</row>
    <row r="251" spans="3:14" x14ac:dyDescent="0.2"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</row>
    <row r="252" spans="3:14" x14ac:dyDescent="0.2"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</row>
    <row r="253" spans="3:14" x14ac:dyDescent="0.2"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</row>
    <row r="254" spans="3:14" x14ac:dyDescent="0.2"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</row>
    <row r="255" spans="3:14" x14ac:dyDescent="0.2"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</row>
    <row r="256" spans="3:14" x14ac:dyDescent="0.2"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</row>
    <row r="257" spans="3:14" x14ac:dyDescent="0.2"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</row>
    <row r="258" spans="3:14" x14ac:dyDescent="0.2"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</row>
    <row r="259" spans="3:14" x14ac:dyDescent="0.2"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</row>
    <row r="260" spans="3:14" x14ac:dyDescent="0.2"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</row>
    <row r="261" spans="3:14" x14ac:dyDescent="0.2"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</row>
    <row r="262" spans="3:14" x14ac:dyDescent="0.2"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</row>
    <row r="263" spans="3:14" x14ac:dyDescent="0.2"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</row>
    <row r="264" spans="3:14" x14ac:dyDescent="0.2"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</row>
    <row r="265" spans="3:14" x14ac:dyDescent="0.2"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</row>
    <row r="266" spans="3:14" x14ac:dyDescent="0.2"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</row>
    <row r="267" spans="3:14" x14ac:dyDescent="0.2"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</row>
    <row r="268" spans="3:14" x14ac:dyDescent="0.2"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</row>
    <row r="269" spans="3:14" x14ac:dyDescent="0.2"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</row>
    <row r="270" spans="3:14" x14ac:dyDescent="0.2"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</row>
    <row r="271" spans="3:14" x14ac:dyDescent="0.2"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</row>
    <row r="272" spans="3:14" x14ac:dyDescent="0.2"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</row>
    <row r="273" spans="3:14" x14ac:dyDescent="0.2"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</row>
    <row r="274" spans="3:14" x14ac:dyDescent="0.2"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</row>
    <row r="275" spans="3:14" x14ac:dyDescent="0.2"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</row>
    <row r="276" spans="3:14" x14ac:dyDescent="0.2"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</row>
    <row r="277" spans="3:14" x14ac:dyDescent="0.2"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</row>
    <row r="278" spans="3:14" x14ac:dyDescent="0.2"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</row>
    <row r="279" spans="3:14" x14ac:dyDescent="0.2"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</row>
    <row r="280" spans="3:14" x14ac:dyDescent="0.2"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</row>
    <row r="281" spans="3:14" x14ac:dyDescent="0.2"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</row>
    <row r="282" spans="3:14" x14ac:dyDescent="0.2"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</row>
    <row r="283" spans="3:14" x14ac:dyDescent="0.2"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</row>
    <row r="284" spans="3:14" x14ac:dyDescent="0.2"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</row>
    <row r="285" spans="3:14" x14ac:dyDescent="0.2"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</row>
    <row r="286" spans="3:14" x14ac:dyDescent="0.2"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</row>
    <row r="287" spans="3:14" x14ac:dyDescent="0.2"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</row>
    <row r="288" spans="3:14" x14ac:dyDescent="0.2"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</row>
    <row r="289" spans="3:14" x14ac:dyDescent="0.2"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</row>
    <row r="290" spans="3:14" x14ac:dyDescent="0.2"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</row>
    <row r="291" spans="3:14" x14ac:dyDescent="0.2"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</row>
    <row r="292" spans="3:14" x14ac:dyDescent="0.2"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</row>
    <row r="293" spans="3:14" x14ac:dyDescent="0.2"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</row>
    <row r="294" spans="3:14" x14ac:dyDescent="0.2"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</row>
    <row r="295" spans="3:14" x14ac:dyDescent="0.2"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</row>
    <row r="296" spans="3:14" x14ac:dyDescent="0.2"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</row>
    <row r="297" spans="3:14" x14ac:dyDescent="0.2"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</row>
    <row r="298" spans="3:14" x14ac:dyDescent="0.2"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</row>
    <row r="299" spans="3:14" x14ac:dyDescent="0.2"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</row>
    <row r="300" spans="3:14" x14ac:dyDescent="0.2"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</row>
    <row r="301" spans="3:14" x14ac:dyDescent="0.2"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</row>
    <row r="302" spans="3:14" x14ac:dyDescent="0.2"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</row>
    <row r="303" spans="3:14" x14ac:dyDescent="0.2"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</row>
    <row r="304" spans="3:14" x14ac:dyDescent="0.2"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</row>
    <row r="305" spans="3:14" x14ac:dyDescent="0.2"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</row>
    <row r="306" spans="3:14" x14ac:dyDescent="0.2"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</row>
    <row r="307" spans="3:14" x14ac:dyDescent="0.2"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</row>
    <row r="308" spans="3:14" x14ac:dyDescent="0.2"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</row>
    <row r="309" spans="3:14" x14ac:dyDescent="0.2"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</row>
    <row r="310" spans="3:14" x14ac:dyDescent="0.2"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</row>
    <row r="311" spans="3:14" x14ac:dyDescent="0.2"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</row>
    <row r="312" spans="3:14" x14ac:dyDescent="0.2"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</row>
    <row r="313" spans="3:14" x14ac:dyDescent="0.2"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</row>
    <row r="314" spans="3:14" x14ac:dyDescent="0.2"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</row>
    <row r="315" spans="3:14" x14ac:dyDescent="0.2"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</row>
    <row r="316" spans="3:14" x14ac:dyDescent="0.2"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</row>
    <row r="317" spans="3:14" x14ac:dyDescent="0.2"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</row>
    <row r="318" spans="3:14" x14ac:dyDescent="0.2"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</row>
    <row r="319" spans="3:14" x14ac:dyDescent="0.2"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</row>
    <row r="320" spans="3:14" x14ac:dyDescent="0.2"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</row>
    <row r="321" spans="3:14" x14ac:dyDescent="0.2"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</row>
    <row r="322" spans="3:14" x14ac:dyDescent="0.2"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</row>
    <row r="323" spans="3:14" x14ac:dyDescent="0.2"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</row>
    <row r="324" spans="3:14" x14ac:dyDescent="0.2"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</row>
    <row r="325" spans="3:14" x14ac:dyDescent="0.2"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</row>
    <row r="326" spans="3:14" x14ac:dyDescent="0.2"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</row>
    <row r="327" spans="3:14" x14ac:dyDescent="0.2"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</row>
    <row r="328" spans="3:14" x14ac:dyDescent="0.2"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</row>
    <row r="329" spans="3:14" x14ac:dyDescent="0.2"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</row>
    <row r="330" spans="3:14" x14ac:dyDescent="0.2"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</row>
    <row r="331" spans="3:14" x14ac:dyDescent="0.2"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</row>
    <row r="332" spans="3:14" x14ac:dyDescent="0.2"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</row>
    <row r="333" spans="3:14" x14ac:dyDescent="0.2"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</row>
    <row r="334" spans="3:14" x14ac:dyDescent="0.2"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</row>
    <row r="335" spans="3:14" x14ac:dyDescent="0.2"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</row>
    <row r="336" spans="3:14" x14ac:dyDescent="0.2"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</row>
    <row r="337" spans="3:14" x14ac:dyDescent="0.2"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</row>
    <row r="338" spans="3:14" x14ac:dyDescent="0.2"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</row>
    <row r="339" spans="3:14" x14ac:dyDescent="0.2"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</row>
    <row r="340" spans="3:14" x14ac:dyDescent="0.2"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</row>
    <row r="341" spans="3:14" x14ac:dyDescent="0.2"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</row>
    <row r="342" spans="3:14" x14ac:dyDescent="0.2"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</row>
    <row r="343" spans="3:14" x14ac:dyDescent="0.2"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</row>
    <row r="344" spans="3:14" x14ac:dyDescent="0.2"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</row>
    <row r="345" spans="3:14" x14ac:dyDescent="0.2"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</row>
    <row r="346" spans="3:14" x14ac:dyDescent="0.2"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</row>
    <row r="347" spans="3:14" x14ac:dyDescent="0.2"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</row>
    <row r="348" spans="3:14" x14ac:dyDescent="0.2"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</row>
    <row r="349" spans="3:14" x14ac:dyDescent="0.2"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</row>
    <row r="350" spans="3:14" x14ac:dyDescent="0.2"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</row>
    <row r="351" spans="3:14" x14ac:dyDescent="0.2"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</row>
    <row r="352" spans="3:14" x14ac:dyDescent="0.2"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</row>
    <row r="353" spans="3:14" x14ac:dyDescent="0.2"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</row>
    <row r="354" spans="3:14" x14ac:dyDescent="0.2"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</row>
    <row r="355" spans="3:14" x14ac:dyDescent="0.2"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</row>
    <row r="356" spans="3:14" x14ac:dyDescent="0.2"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</row>
    <row r="357" spans="3:14" x14ac:dyDescent="0.2"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</row>
    <row r="358" spans="3:14" x14ac:dyDescent="0.2"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</row>
    <row r="359" spans="3:14" x14ac:dyDescent="0.2"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</row>
    <row r="360" spans="3:14" x14ac:dyDescent="0.2"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</row>
    <row r="361" spans="3:14" x14ac:dyDescent="0.2"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</row>
    <row r="362" spans="3:14" x14ac:dyDescent="0.2"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</row>
    <row r="363" spans="3:14" x14ac:dyDescent="0.2"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</row>
    <row r="364" spans="3:14" x14ac:dyDescent="0.2"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</row>
    <row r="365" spans="3:14" x14ac:dyDescent="0.2">
      <c r="C365" s="160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</row>
    <row r="366" spans="3:14" x14ac:dyDescent="0.2"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</row>
    <row r="367" spans="3:14" x14ac:dyDescent="0.2"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</row>
    <row r="368" spans="3:14" x14ac:dyDescent="0.2"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</row>
    <row r="369" spans="3:14" x14ac:dyDescent="0.2"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</row>
    <row r="370" spans="3:14" x14ac:dyDescent="0.2">
      <c r="C370" s="160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</row>
    <row r="371" spans="3:14" x14ac:dyDescent="0.2">
      <c r="C371" s="160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</row>
    <row r="372" spans="3:14" x14ac:dyDescent="0.2">
      <c r="C372" s="160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</row>
    <row r="373" spans="3:14" x14ac:dyDescent="0.2">
      <c r="C373" s="160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</row>
    <row r="374" spans="3:14" x14ac:dyDescent="0.2"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</row>
    <row r="375" spans="3:14" x14ac:dyDescent="0.2">
      <c r="C375" s="160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</row>
    <row r="376" spans="3:14" x14ac:dyDescent="0.2"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</row>
    <row r="377" spans="3:14" x14ac:dyDescent="0.2"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</row>
    <row r="378" spans="3:14" x14ac:dyDescent="0.2">
      <c r="C378" s="160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</row>
    <row r="379" spans="3:14" x14ac:dyDescent="0.2">
      <c r="C379" s="160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</row>
    <row r="380" spans="3:14" x14ac:dyDescent="0.2"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</row>
    <row r="381" spans="3:14" x14ac:dyDescent="0.2"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</row>
    <row r="382" spans="3:14" x14ac:dyDescent="0.2"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</row>
    <row r="383" spans="3:14" x14ac:dyDescent="0.2">
      <c r="C383" s="160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</row>
    <row r="384" spans="3:14" x14ac:dyDescent="0.2">
      <c r="C384" s="160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</row>
    <row r="385" spans="3:14" x14ac:dyDescent="0.2">
      <c r="C385" s="160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</row>
    <row r="386" spans="3:14" x14ac:dyDescent="0.2">
      <c r="C386" s="160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</row>
    <row r="387" spans="3:14" x14ac:dyDescent="0.2">
      <c r="C387" s="160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</row>
    <row r="388" spans="3:14" x14ac:dyDescent="0.2"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</row>
    <row r="389" spans="3:14" x14ac:dyDescent="0.2"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</row>
    <row r="390" spans="3:14" x14ac:dyDescent="0.2"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</row>
    <row r="391" spans="3:14" x14ac:dyDescent="0.2"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</row>
    <row r="392" spans="3:14" x14ac:dyDescent="0.2"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</row>
    <row r="393" spans="3:14" x14ac:dyDescent="0.2"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</row>
    <row r="394" spans="3:14" x14ac:dyDescent="0.2"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</row>
    <row r="395" spans="3:14" x14ac:dyDescent="0.2"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</row>
    <row r="396" spans="3:14" x14ac:dyDescent="0.2"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</row>
    <row r="397" spans="3:14" x14ac:dyDescent="0.2">
      <c r="C397" s="160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</row>
    <row r="398" spans="3:14" x14ac:dyDescent="0.2">
      <c r="C398" s="160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</row>
    <row r="399" spans="3:14" x14ac:dyDescent="0.2">
      <c r="C399" s="160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</row>
    <row r="400" spans="3:14" x14ac:dyDescent="0.2">
      <c r="C400" s="160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</row>
    <row r="401" spans="3:14" x14ac:dyDescent="0.2">
      <c r="C401" s="160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</row>
    <row r="402" spans="3:14" x14ac:dyDescent="0.2">
      <c r="C402" s="160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</row>
    <row r="403" spans="3:14" x14ac:dyDescent="0.2"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</row>
    <row r="404" spans="3:14" x14ac:dyDescent="0.2"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</row>
    <row r="405" spans="3:14" x14ac:dyDescent="0.2"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</row>
    <row r="406" spans="3:14" x14ac:dyDescent="0.2"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</row>
    <row r="407" spans="3:14" x14ac:dyDescent="0.2"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</row>
    <row r="408" spans="3:14" x14ac:dyDescent="0.2"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</row>
    <row r="409" spans="3:14" x14ac:dyDescent="0.2">
      <c r="C409" s="160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</row>
    <row r="410" spans="3:14" x14ac:dyDescent="0.2"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</row>
    <row r="411" spans="3:14" x14ac:dyDescent="0.2"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</row>
    <row r="412" spans="3:14" x14ac:dyDescent="0.2"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</row>
    <row r="413" spans="3:14" x14ac:dyDescent="0.2">
      <c r="C413" s="160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</row>
    <row r="414" spans="3:14" x14ac:dyDescent="0.2"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</row>
    <row r="415" spans="3:14" x14ac:dyDescent="0.2"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</row>
    <row r="416" spans="3:14" x14ac:dyDescent="0.2"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</row>
    <row r="417" spans="3:14" x14ac:dyDescent="0.2">
      <c r="C417" s="160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</row>
    <row r="418" spans="3:14" x14ac:dyDescent="0.2"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</row>
    <row r="419" spans="3:14" x14ac:dyDescent="0.2"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</row>
    <row r="420" spans="3:14" x14ac:dyDescent="0.2">
      <c r="C420" s="160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</row>
    <row r="421" spans="3:14" x14ac:dyDescent="0.2"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</row>
    <row r="422" spans="3:14" x14ac:dyDescent="0.2"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</row>
    <row r="423" spans="3:14" x14ac:dyDescent="0.2"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</row>
    <row r="424" spans="3:14" x14ac:dyDescent="0.2"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</row>
    <row r="425" spans="3:14" x14ac:dyDescent="0.2"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</row>
    <row r="426" spans="3:14" x14ac:dyDescent="0.2"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</row>
    <row r="427" spans="3:14" x14ac:dyDescent="0.2"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</row>
    <row r="428" spans="3:14" x14ac:dyDescent="0.2"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</row>
    <row r="429" spans="3:14" x14ac:dyDescent="0.2">
      <c r="C429" s="160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</row>
    <row r="430" spans="3:14" x14ac:dyDescent="0.2">
      <c r="C430" s="160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</row>
    <row r="431" spans="3:14" x14ac:dyDescent="0.2">
      <c r="C431" s="160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</row>
    <row r="432" spans="3:14" x14ac:dyDescent="0.2">
      <c r="C432" s="160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</row>
    <row r="433" spans="3:14" x14ac:dyDescent="0.2"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</row>
    <row r="434" spans="3:14" x14ac:dyDescent="0.2"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</row>
    <row r="435" spans="3:14" x14ac:dyDescent="0.2"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</row>
    <row r="436" spans="3:14" x14ac:dyDescent="0.2"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</row>
    <row r="437" spans="3:14" x14ac:dyDescent="0.2">
      <c r="C437" s="160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</row>
    <row r="438" spans="3:14" x14ac:dyDescent="0.2"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</row>
    <row r="439" spans="3:14" x14ac:dyDescent="0.2"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</row>
    <row r="440" spans="3:14" x14ac:dyDescent="0.2"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</row>
    <row r="441" spans="3:14" x14ac:dyDescent="0.2"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</row>
    <row r="442" spans="3:14" x14ac:dyDescent="0.2"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</row>
    <row r="443" spans="3:14" x14ac:dyDescent="0.2"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</row>
    <row r="444" spans="3:14" x14ac:dyDescent="0.2"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</row>
    <row r="445" spans="3:14" x14ac:dyDescent="0.2"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</row>
    <row r="446" spans="3:14" x14ac:dyDescent="0.2">
      <c r="C446" s="160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</row>
    <row r="447" spans="3:14" x14ac:dyDescent="0.2">
      <c r="C447" s="160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</row>
    <row r="448" spans="3:14" x14ac:dyDescent="0.2"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</row>
    <row r="449" spans="3:14" x14ac:dyDescent="0.2">
      <c r="C449" s="160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</row>
    <row r="450" spans="3:14" x14ac:dyDescent="0.2">
      <c r="C450" s="160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</row>
    <row r="451" spans="3:14" x14ac:dyDescent="0.2"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</row>
    <row r="452" spans="3:14" x14ac:dyDescent="0.2"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</row>
    <row r="453" spans="3:14" x14ac:dyDescent="0.2">
      <c r="C453" s="160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</row>
    <row r="454" spans="3:14" x14ac:dyDescent="0.2"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</row>
    <row r="455" spans="3:14" x14ac:dyDescent="0.2"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</row>
    <row r="456" spans="3:14" x14ac:dyDescent="0.2"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</row>
    <row r="457" spans="3:14" x14ac:dyDescent="0.2"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</row>
    <row r="458" spans="3:14" x14ac:dyDescent="0.2"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</row>
    <row r="459" spans="3:14" x14ac:dyDescent="0.2"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</row>
    <row r="460" spans="3:14" x14ac:dyDescent="0.2"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</row>
    <row r="461" spans="3:14" x14ac:dyDescent="0.2"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</row>
    <row r="462" spans="3:14" x14ac:dyDescent="0.2"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</row>
    <row r="463" spans="3:14" x14ac:dyDescent="0.2">
      <c r="C463" s="160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</row>
    <row r="464" spans="3:14" x14ac:dyDescent="0.2">
      <c r="C464" s="160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</row>
    <row r="465" spans="3:14" x14ac:dyDescent="0.2">
      <c r="C465" s="160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</row>
    <row r="466" spans="3:14" x14ac:dyDescent="0.2">
      <c r="C466" s="160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</row>
    <row r="467" spans="3:14" x14ac:dyDescent="0.2">
      <c r="C467" s="160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</row>
    <row r="468" spans="3:14" x14ac:dyDescent="0.2">
      <c r="C468" s="160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</row>
    <row r="469" spans="3:14" x14ac:dyDescent="0.2">
      <c r="C469" s="160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</row>
    <row r="470" spans="3:14" x14ac:dyDescent="0.2">
      <c r="C470" s="160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</row>
    <row r="471" spans="3:14" x14ac:dyDescent="0.2">
      <c r="C471" s="160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</row>
    <row r="472" spans="3:14" x14ac:dyDescent="0.2">
      <c r="C472" s="160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</row>
    <row r="473" spans="3:14" x14ac:dyDescent="0.2"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</row>
    <row r="474" spans="3:14" x14ac:dyDescent="0.2">
      <c r="C474" s="160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</row>
    <row r="475" spans="3:14" x14ac:dyDescent="0.2">
      <c r="C475" s="160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</row>
    <row r="476" spans="3:14" x14ac:dyDescent="0.2">
      <c r="C476" s="160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</row>
    <row r="477" spans="3:14" x14ac:dyDescent="0.2">
      <c r="C477" s="160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</row>
    <row r="478" spans="3:14" x14ac:dyDescent="0.2"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</row>
    <row r="479" spans="3:14" x14ac:dyDescent="0.2"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</row>
    <row r="480" spans="3:14" x14ac:dyDescent="0.2"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</row>
    <row r="481" spans="3:14" x14ac:dyDescent="0.2"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</row>
    <row r="482" spans="3:14" x14ac:dyDescent="0.2"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</row>
    <row r="483" spans="3:14" x14ac:dyDescent="0.2"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</row>
    <row r="484" spans="3:14" x14ac:dyDescent="0.2"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</row>
    <row r="485" spans="3:14" x14ac:dyDescent="0.2"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</row>
    <row r="486" spans="3:14" x14ac:dyDescent="0.2"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</row>
    <row r="487" spans="3:14" x14ac:dyDescent="0.2"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</row>
    <row r="488" spans="3:14" x14ac:dyDescent="0.2"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</row>
    <row r="489" spans="3:14" x14ac:dyDescent="0.2"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</row>
    <row r="490" spans="3:14" x14ac:dyDescent="0.2"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</row>
    <row r="491" spans="3:14" x14ac:dyDescent="0.2"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</row>
    <row r="492" spans="3:14" x14ac:dyDescent="0.2"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</row>
    <row r="493" spans="3:14" x14ac:dyDescent="0.2"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</row>
    <row r="494" spans="3:14" x14ac:dyDescent="0.2"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</row>
    <row r="495" spans="3:14" x14ac:dyDescent="0.2"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</row>
    <row r="496" spans="3:14" x14ac:dyDescent="0.2"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</row>
    <row r="497" spans="3:14" x14ac:dyDescent="0.2"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</row>
    <row r="498" spans="3:14" x14ac:dyDescent="0.2"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</row>
    <row r="499" spans="3:14" x14ac:dyDescent="0.2"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</row>
    <row r="500" spans="3:14" x14ac:dyDescent="0.2"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</row>
    <row r="501" spans="3:14" x14ac:dyDescent="0.2"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</row>
    <row r="502" spans="3:14" x14ac:dyDescent="0.2">
      <c r="C502" s="160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</row>
    <row r="503" spans="3:14" x14ac:dyDescent="0.2">
      <c r="C503" s="160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</row>
    <row r="504" spans="3:14" x14ac:dyDescent="0.2"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</row>
    <row r="505" spans="3:14" x14ac:dyDescent="0.2"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</row>
    <row r="506" spans="3:14" x14ac:dyDescent="0.2"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</row>
    <row r="507" spans="3:14" x14ac:dyDescent="0.2">
      <c r="C507" s="160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</row>
    <row r="508" spans="3:14" x14ac:dyDescent="0.2"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</row>
    <row r="509" spans="3:14" x14ac:dyDescent="0.2">
      <c r="C509" s="160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</row>
    <row r="510" spans="3:14" x14ac:dyDescent="0.2"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</row>
    <row r="511" spans="3:14" x14ac:dyDescent="0.2"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</row>
    <row r="512" spans="3:14" x14ac:dyDescent="0.2"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</row>
    <row r="513" spans="3:14" x14ac:dyDescent="0.2"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</row>
    <row r="514" spans="3:14" x14ac:dyDescent="0.2"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</row>
    <row r="515" spans="3:14" x14ac:dyDescent="0.2"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</row>
    <row r="516" spans="3:14" x14ac:dyDescent="0.2"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</row>
    <row r="517" spans="3:14" x14ac:dyDescent="0.2">
      <c r="C517" s="160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</row>
    <row r="518" spans="3:14" x14ac:dyDescent="0.2">
      <c r="C518" s="160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</row>
    <row r="519" spans="3:14" x14ac:dyDescent="0.2">
      <c r="C519" s="160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</row>
    <row r="520" spans="3:14" x14ac:dyDescent="0.2"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</row>
    <row r="521" spans="3:14" x14ac:dyDescent="0.2"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</row>
    <row r="522" spans="3:14" x14ac:dyDescent="0.2"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</row>
    <row r="523" spans="3:14" x14ac:dyDescent="0.2"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</row>
    <row r="524" spans="3:14" x14ac:dyDescent="0.2"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</row>
    <row r="525" spans="3:14" x14ac:dyDescent="0.2"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</row>
    <row r="526" spans="3:14" x14ac:dyDescent="0.2"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</row>
    <row r="527" spans="3:14" x14ac:dyDescent="0.2"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</row>
    <row r="528" spans="3:14" x14ac:dyDescent="0.2"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</row>
    <row r="529" spans="3:14" x14ac:dyDescent="0.2"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</row>
    <row r="530" spans="3:14" x14ac:dyDescent="0.2"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</row>
    <row r="531" spans="3:14" x14ac:dyDescent="0.2"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</row>
    <row r="532" spans="3:14" x14ac:dyDescent="0.2">
      <c r="C532" s="160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</row>
    <row r="533" spans="3:14" x14ac:dyDescent="0.2"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</row>
    <row r="534" spans="3:14" x14ac:dyDescent="0.2"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</row>
    <row r="535" spans="3:14" x14ac:dyDescent="0.2">
      <c r="C535" s="160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</row>
    <row r="536" spans="3:14" x14ac:dyDescent="0.2"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</row>
    <row r="537" spans="3:14" x14ac:dyDescent="0.2"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</row>
    <row r="538" spans="3:14" x14ac:dyDescent="0.2"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</row>
    <row r="539" spans="3:14" x14ac:dyDescent="0.2"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</row>
    <row r="540" spans="3:14" x14ac:dyDescent="0.2">
      <c r="C540" s="160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</row>
    <row r="541" spans="3:14" x14ac:dyDescent="0.2">
      <c r="C541" s="160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</row>
    <row r="542" spans="3:14" x14ac:dyDescent="0.2"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</row>
    <row r="543" spans="3:14" x14ac:dyDescent="0.2"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</row>
    <row r="544" spans="3:14" x14ac:dyDescent="0.2">
      <c r="C544" s="160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</row>
    <row r="545" spans="3:14" x14ac:dyDescent="0.2"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</row>
    <row r="546" spans="3:14" x14ac:dyDescent="0.2"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</row>
    <row r="547" spans="3:14" x14ac:dyDescent="0.2"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</row>
    <row r="548" spans="3:14" x14ac:dyDescent="0.2"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</row>
    <row r="549" spans="3:14" x14ac:dyDescent="0.2"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</row>
    <row r="550" spans="3:14" x14ac:dyDescent="0.2"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</row>
    <row r="551" spans="3:14" x14ac:dyDescent="0.2">
      <c r="C551" s="160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</row>
    <row r="552" spans="3:14" x14ac:dyDescent="0.2"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</row>
    <row r="553" spans="3:14" x14ac:dyDescent="0.2"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</row>
    <row r="554" spans="3:14" x14ac:dyDescent="0.2"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</row>
    <row r="555" spans="3:14" x14ac:dyDescent="0.2"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</row>
    <row r="556" spans="3:14" x14ac:dyDescent="0.2"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</row>
    <row r="557" spans="3:14" x14ac:dyDescent="0.2"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</row>
    <row r="558" spans="3:14" x14ac:dyDescent="0.2"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</row>
    <row r="559" spans="3:14" x14ac:dyDescent="0.2"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</row>
    <row r="560" spans="3:14" x14ac:dyDescent="0.2"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</row>
    <row r="561" spans="3:14" x14ac:dyDescent="0.2">
      <c r="C561" s="160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</row>
    <row r="562" spans="3:14" x14ac:dyDescent="0.2"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</row>
    <row r="563" spans="3:14" x14ac:dyDescent="0.2"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</row>
    <row r="564" spans="3:14" x14ac:dyDescent="0.2"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</row>
    <row r="565" spans="3:14" x14ac:dyDescent="0.2">
      <c r="C565" s="160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</row>
    <row r="566" spans="3:14" x14ac:dyDescent="0.2">
      <c r="C566" s="160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</row>
    <row r="567" spans="3:14" x14ac:dyDescent="0.2">
      <c r="C567" s="160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</row>
    <row r="568" spans="3:14" x14ac:dyDescent="0.2">
      <c r="C568" s="160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</row>
    <row r="569" spans="3:14" x14ac:dyDescent="0.2"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</row>
    <row r="570" spans="3:14" x14ac:dyDescent="0.2"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</row>
    <row r="571" spans="3:14" x14ac:dyDescent="0.2">
      <c r="C571" s="160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</row>
    <row r="572" spans="3:14" x14ac:dyDescent="0.2">
      <c r="C572" s="160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</row>
    <row r="573" spans="3:14" x14ac:dyDescent="0.2">
      <c r="C573" s="160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</row>
    <row r="574" spans="3:14" x14ac:dyDescent="0.2"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</row>
    <row r="575" spans="3:14" x14ac:dyDescent="0.2"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</row>
    <row r="576" spans="3:14" x14ac:dyDescent="0.2"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</row>
    <row r="577" spans="3:14" x14ac:dyDescent="0.2">
      <c r="C577" s="160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</row>
    <row r="578" spans="3:14" x14ac:dyDescent="0.2"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</row>
    <row r="579" spans="3:14" x14ac:dyDescent="0.2">
      <c r="C579" s="160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</row>
    <row r="580" spans="3:14" x14ac:dyDescent="0.2"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</row>
    <row r="581" spans="3:14" x14ac:dyDescent="0.2"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</row>
    <row r="582" spans="3:14" x14ac:dyDescent="0.2"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</row>
    <row r="583" spans="3:14" x14ac:dyDescent="0.2"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</row>
    <row r="584" spans="3:14" x14ac:dyDescent="0.2">
      <c r="C584" s="160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</row>
    <row r="585" spans="3:14" x14ac:dyDescent="0.2">
      <c r="C585" s="160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</row>
    <row r="586" spans="3:14" x14ac:dyDescent="0.2"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</row>
    <row r="587" spans="3:14" x14ac:dyDescent="0.2"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</row>
    <row r="588" spans="3:14" x14ac:dyDescent="0.2"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</row>
    <row r="589" spans="3:14" x14ac:dyDescent="0.2"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</row>
    <row r="590" spans="3:14" x14ac:dyDescent="0.2"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</row>
    <row r="591" spans="3:14" x14ac:dyDescent="0.2"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</row>
    <row r="592" spans="3:14" x14ac:dyDescent="0.2"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</row>
    <row r="593" spans="3:14" x14ac:dyDescent="0.2"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</row>
    <row r="594" spans="3:14" x14ac:dyDescent="0.2">
      <c r="C594" s="160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</row>
    <row r="595" spans="3:14" x14ac:dyDescent="0.2">
      <c r="C595" s="160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</row>
    <row r="596" spans="3:14" x14ac:dyDescent="0.2"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</row>
    <row r="597" spans="3:14" x14ac:dyDescent="0.2"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</row>
    <row r="598" spans="3:14" x14ac:dyDescent="0.2"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</row>
    <row r="599" spans="3:14" x14ac:dyDescent="0.2"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</row>
    <row r="600" spans="3:14" x14ac:dyDescent="0.2">
      <c r="C600" s="160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</row>
    <row r="601" spans="3:14" x14ac:dyDescent="0.2">
      <c r="C601" s="160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</row>
    <row r="602" spans="3:14" x14ac:dyDescent="0.2">
      <c r="C602" s="160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</row>
    <row r="603" spans="3:14" x14ac:dyDescent="0.2"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</row>
    <row r="604" spans="3:14" x14ac:dyDescent="0.2">
      <c r="C604" s="160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</row>
    <row r="605" spans="3:14" x14ac:dyDescent="0.2">
      <c r="C605" s="160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</row>
    <row r="606" spans="3:14" x14ac:dyDescent="0.2"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</row>
    <row r="607" spans="3:14" x14ac:dyDescent="0.2">
      <c r="C607" s="160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</row>
    <row r="608" spans="3:14" x14ac:dyDescent="0.2">
      <c r="C608" s="160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</row>
    <row r="609" spans="3:14" x14ac:dyDescent="0.2">
      <c r="C609" s="160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</row>
    <row r="610" spans="3:14" x14ac:dyDescent="0.2">
      <c r="C610" s="160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</row>
    <row r="611" spans="3:14" x14ac:dyDescent="0.2">
      <c r="C611" s="160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</row>
    <row r="612" spans="3:14" x14ac:dyDescent="0.2">
      <c r="C612" s="160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</row>
    <row r="613" spans="3:14" x14ac:dyDescent="0.2"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</row>
    <row r="614" spans="3:14" x14ac:dyDescent="0.2"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</row>
    <row r="615" spans="3:14" x14ac:dyDescent="0.2"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</row>
    <row r="616" spans="3:14" x14ac:dyDescent="0.2"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</row>
    <row r="617" spans="3:14" x14ac:dyDescent="0.2"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</row>
    <row r="618" spans="3:14" x14ac:dyDescent="0.2"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</row>
    <row r="619" spans="3:14" x14ac:dyDescent="0.2"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</row>
    <row r="620" spans="3:14" x14ac:dyDescent="0.2"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</row>
    <row r="621" spans="3:14" x14ac:dyDescent="0.2"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</row>
    <row r="622" spans="3:14" x14ac:dyDescent="0.2"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</row>
    <row r="623" spans="3:14" x14ac:dyDescent="0.2"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</row>
    <row r="624" spans="3:14" x14ac:dyDescent="0.2"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</row>
    <row r="625" spans="3:14" x14ac:dyDescent="0.2"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</row>
    <row r="626" spans="3:14" x14ac:dyDescent="0.2"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</row>
    <row r="627" spans="3:14" x14ac:dyDescent="0.2"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</row>
    <row r="628" spans="3:14" x14ac:dyDescent="0.2"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</row>
    <row r="629" spans="3:14" x14ac:dyDescent="0.2"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</row>
    <row r="630" spans="3:14" x14ac:dyDescent="0.2"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</row>
    <row r="631" spans="3:14" x14ac:dyDescent="0.2"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</row>
    <row r="632" spans="3:14" x14ac:dyDescent="0.2"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</row>
    <row r="633" spans="3:14" x14ac:dyDescent="0.2"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</row>
    <row r="634" spans="3:14" x14ac:dyDescent="0.2"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</row>
    <row r="635" spans="3:14" x14ac:dyDescent="0.2"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</row>
    <row r="636" spans="3:14" x14ac:dyDescent="0.2"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</row>
    <row r="637" spans="3:14" x14ac:dyDescent="0.2"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</row>
    <row r="638" spans="3:14" x14ac:dyDescent="0.2"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</row>
    <row r="639" spans="3:14" x14ac:dyDescent="0.2"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</row>
    <row r="640" spans="3:14" x14ac:dyDescent="0.2"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</row>
    <row r="641" spans="3:14" x14ac:dyDescent="0.2"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</row>
    <row r="642" spans="3:14" x14ac:dyDescent="0.2"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</row>
    <row r="643" spans="3:14" x14ac:dyDescent="0.2"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</row>
    <row r="644" spans="3:14" x14ac:dyDescent="0.2"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</row>
    <row r="645" spans="3:14" x14ac:dyDescent="0.2"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</row>
    <row r="646" spans="3:14" x14ac:dyDescent="0.2"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</row>
    <row r="647" spans="3:14" x14ac:dyDescent="0.2"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</row>
    <row r="648" spans="3:14" x14ac:dyDescent="0.2"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</row>
    <row r="649" spans="3:14" x14ac:dyDescent="0.2"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</row>
    <row r="650" spans="3:14" x14ac:dyDescent="0.2"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</row>
    <row r="651" spans="3:14" x14ac:dyDescent="0.2"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</row>
    <row r="652" spans="3:14" x14ac:dyDescent="0.2"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</row>
    <row r="653" spans="3:14" x14ac:dyDescent="0.2"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</row>
    <row r="654" spans="3:14" x14ac:dyDescent="0.2"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</row>
    <row r="655" spans="3:14" x14ac:dyDescent="0.2"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</row>
    <row r="656" spans="3:14" x14ac:dyDescent="0.2"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</row>
    <row r="657" spans="3:14" x14ac:dyDescent="0.2"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</row>
    <row r="658" spans="3:14" x14ac:dyDescent="0.2"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</row>
    <row r="659" spans="3:14" x14ac:dyDescent="0.2"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</row>
    <row r="660" spans="3:14" x14ac:dyDescent="0.2"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</row>
    <row r="661" spans="3:14" x14ac:dyDescent="0.2"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</row>
    <row r="662" spans="3:14" x14ac:dyDescent="0.2"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</row>
    <row r="663" spans="3:14" x14ac:dyDescent="0.2"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</row>
    <row r="664" spans="3:14" x14ac:dyDescent="0.2"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</row>
    <row r="665" spans="3:14" x14ac:dyDescent="0.2"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</row>
    <row r="666" spans="3:14" x14ac:dyDescent="0.2"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</row>
    <row r="667" spans="3:14" x14ac:dyDescent="0.2"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</row>
    <row r="668" spans="3:14" x14ac:dyDescent="0.2"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</row>
    <row r="669" spans="3:14" x14ac:dyDescent="0.2"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</row>
    <row r="670" spans="3:14" x14ac:dyDescent="0.2"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</row>
    <row r="671" spans="3:14" x14ac:dyDescent="0.2"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</row>
    <row r="672" spans="3:14" x14ac:dyDescent="0.2"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</row>
    <row r="673" spans="3:14" x14ac:dyDescent="0.2"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</row>
    <row r="674" spans="3:14" x14ac:dyDescent="0.2"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</row>
    <row r="675" spans="3:14" x14ac:dyDescent="0.2"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</row>
    <row r="676" spans="3:14" x14ac:dyDescent="0.2"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</row>
    <row r="677" spans="3:14" x14ac:dyDescent="0.2"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</row>
    <row r="678" spans="3:14" x14ac:dyDescent="0.2"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</row>
    <row r="679" spans="3:14" x14ac:dyDescent="0.2"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</row>
    <row r="680" spans="3:14" x14ac:dyDescent="0.2"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</row>
    <row r="681" spans="3:14" x14ac:dyDescent="0.2"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</row>
    <row r="682" spans="3:14" x14ac:dyDescent="0.2"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</row>
    <row r="683" spans="3:14" x14ac:dyDescent="0.2"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</row>
    <row r="684" spans="3:14" x14ac:dyDescent="0.2"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</row>
    <row r="685" spans="3:14" x14ac:dyDescent="0.2"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</row>
    <row r="686" spans="3:14" x14ac:dyDescent="0.2"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</row>
    <row r="687" spans="3:14" x14ac:dyDescent="0.2"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</row>
    <row r="688" spans="3:14" x14ac:dyDescent="0.2"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</row>
    <row r="689" spans="3:14" x14ac:dyDescent="0.2"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</row>
    <row r="690" spans="3:14" x14ac:dyDescent="0.2"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</row>
    <row r="691" spans="3:14" x14ac:dyDescent="0.2"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</row>
    <row r="692" spans="3:14" x14ac:dyDescent="0.2"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</row>
    <row r="693" spans="3:14" x14ac:dyDescent="0.2"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</row>
    <row r="694" spans="3:14" x14ac:dyDescent="0.2">
      <c r="C694" s="160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</row>
    <row r="695" spans="3:14" x14ac:dyDescent="0.2">
      <c r="C695" s="160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</row>
    <row r="696" spans="3:14" x14ac:dyDescent="0.2">
      <c r="C696" s="160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</row>
    <row r="697" spans="3:14" x14ac:dyDescent="0.2">
      <c r="C697" s="160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</row>
    <row r="698" spans="3:14" x14ac:dyDescent="0.2">
      <c r="C698" s="160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</row>
    <row r="699" spans="3:14" x14ac:dyDescent="0.2">
      <c r="C699" s="160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</row>
    <row r="700" spans="3:14" x14ac:dyDescent="0.2">
      <c r="C700" s="160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</row>
    <row r="701" spans="3:14" x14ac:dyDescent="0.2">
      <c r="C701" s="160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</row>
    <row r="702" spans="3:14" x14ac:dyDescent="0.2"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</row>
    <row r="703" spans="3:14" x14ac:dyDescent="0.2">
      <c r="C703" s="160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</row>
    <row r="704" spans="3:14" x14ac:dyDescent="0.2">
      <c r="C704" s="160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</row>
    <row r="705" spans="3:14" x14ac:dyDescent="0.2">
      <c r="C705" s="160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</row>
    <row r="706" spans="3:14" x14ac:dyDescent="0.2"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</row>
    <row r="707" spans="3:14" x14ac:dyDescent="0.2">
      <c r="C707" s="160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</row>
    <row r="708" spans="3:14" x14ac:dyDescent="0.2">
      <c r="C708" s="160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</row>
    <row r="709" spans="3:14" x14ac:dyDescent="0.2">
      <c r="C709" s="160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</row>
    <row r="710" spans="3:14" x14ac:dyDescent="0.2"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</row>
    <row r="711" spans="3:14" x14ac:dyDescent="0.2"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</row>
    <row r="712" spans="3:14" x14ac:dyDescent="0.2"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</row>
    <row r="713" spans="3:14" x14ac:dyDescent="0.2"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</row>
    <row r="714" spans="3:14" x14ac:dyDescent="0.2"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</row>
    <row r="715" spans="3:14" x14ac:dyDescent="0.2"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</row>
    <row r="716" spans="3:14" x14ac:dyDescent="0.2"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</row>
    <row r="717" spans="3:14" x14ac:dyDescent="0.2"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</row>
    <row r="718" spans="3:14" x14ac:dyDescent="0.2"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</row>
    <row r="719" spans="3:14" x14ac:dyDescent="0.2"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</row>
    <row r="720" spans="3:14" x14ac:dyDescent="0.2"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</row>
    <row r="721" spans="3:14" x14ac:dyDescent="0.2"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</row>
    <row r="722" spans="3:14" x14ac:dyDescent="0.2"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</row>
    <row r="723" spans="3:14" x14ac:dyDescent="0.2"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</row>
    <row r="724" spans="3:14" x14ac:dyDescent="0.2"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</row>
    <row r="725" spans="3:14" x14ac:dyDescent="0.2"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</row>
    <row r="726" spans="3:14" x14ac:dyDescent="0.2"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</row>
    <row r="727" spans="3:14" x14ac:dyDescent="0.2"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</row>
    <row r="728" spans="3:14" x14ac:dyDescent="0.2"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</row>
    <row r="729" spans="3:14" x14ac:dyDescent="0.2"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</row>
    <row r="730" spans="3:14" x14ac:dyDescent="0.2"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</row>
    <row r="731" spans="3:14" x14ac:dyDescent="0.2"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</row>
    <row r="732" spans="3:14" x14ac:dyDescent="0.2"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</row>
    <row r="733" spans="3:14" x14ac:dyDescent="0.2"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</row>
    <row r="734" spans="3:14" x14ac:dyDescent="0.2"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</row>
    <row r="735" spans="3:14" x14ac:dyDescent="0.2"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</row>
    <row r="736" spans="3:14" x14ac:dyDescent="0.2"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</row>
    <row r="737" spans="3:14" x14ac:dyDescent="0.2"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</row>
    <row r="738" spans="3:14" x14ac:dyDescent="0.2"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</row>
    <row r="739" spans="3:14" x14ac:dyDescent="0.2"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</row>
    <row r="740" spans="3:14" x14ac:dyDescent="0.2"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</row>
    <row r="741" spans="3:14" x14ac:dyDescent="0.2"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</row>
    <row r="742" spans="3:14" x14ac:dyDescent="0.2"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</row>
    <row r="743" spans="3:14" x14ac:dyDescent="0.2"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</row>
    <row r="744" spans="3:14" x14ac:dyDescent="0.2"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</row>
    <row r="745" spans="3:14" x14ac:dyDescent="0.2"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</row>
    <row r="746" spans="3:14" x14ac:dyDescent="0.2"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</row>
    <row r="747" spans="3:14" x14ac:dyDescent="0.2"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</row>
    <row r="748" spans="3:14" x14ac:dyDescent="0.2"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</row>
    <row r="749" spans="3:14" x14ac:dyDescent="0.2"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</row>
    <row r="750" spans="3:14" x14ac:dyDescent="0.2"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</row>
    <row r="751" spans="3:14" x14ac:dyDescent="0.2"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</row>
    <row r="752" spans="3:14" x14ac:dyDescent="0.2"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</row>
    <row r="753" spans="3:14" x14ac:dyDescent="0.2"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</row>
    <row r="754" spans="3:14" x14ac:dyDescent="0.2"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</row>
    <row r="755" spans="3:14" x14ac:dyDescent="0.2"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</row>
    <row r="756" spans="3:14" x14ac:dyDescent="0.2"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</row>
    <row r="757" spans="3:14" x14ac:dyDescent="0.2"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</row>
    <row r="758" spans="3:14" x14ac:dyDescent="0.2"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</row>
    <row r="759" spans="3:14" x14ac:dyDescent="0.2"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</row>
    <row r="760" spans="3:14" x14ac:dyDescent="0.2"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</row>
    <row r="761" spans="3:14" x14ac:dyDescent="0.2"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</row>
    <row r="762" spans="3:14" x14ac:dyDescent="0.2"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</row>
    <row r="763" spans="3:14" x14ac:dyDescent="0.2"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</row>
    <row r="764" spans="3:14" x14ac:dyDescent="0.2"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</row>
    <row r="765" spans="3:14" x14ac:dyDescent="0.2"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</row>
    <row r="766" spans="3:14" x14ac:dyDescent="0.2"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</row>
    <row r="767" spans="3:14" x14ac:dyDescent="0.2"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</row>
    <row r="768" spans="3:14" x14ac:dyDescent="0.2"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</row>
    <row r="769" spans="3:14" x14ac:dyDescent="0.2"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</row>
    <row r="770" spans="3:14" x14ac:dyDescent="0.2"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</row>
    <row r="771" spans="3:14" x14ac:dyDescent="0.2"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</row>
    <row r="772" spans="3:14" x14ac:dyDescent="0.2"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</row>
    <row r="773" spans="3:14" x14ac:dyDescent="0.2"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</row>
    <row r="774" spans="3:14" x14ac:dyDescent="0.2"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</row>
    <row r="775" spans="3:14" x14ac:dyDescent="0.2"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</row>
    <row r="776" spans="3:14" x14ac:dyDescent="0.2"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</row>
    <row r="777" spans="3:14" x14ac:dyDescent="0.2"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</row>
    <row r="778" spans="3:14" x14ac:dyDescent="0.2"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</row>
    <row r="779" spans="3:14" x14ac:dyDescent="0.2"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</row>
    <row r="780" spans="3:14" x14ac:dyDescent="0.2"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</row>
    <row r="781" spans="3:14" x14ac:dyDescent="0.2"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</row>
    <row r="782" spans="3:14" x14ac:dyDescent="0.2"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</row>
    <row r="783" spans="3:14" x14ac:dyDescent="0.2"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</row>
    <row r="784" spans="3:14" x14ac:dyDescent="0.2"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</row>
    <row r="785" spans="3:14" x14ac:dyDescent="0.2"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</row>
    <row r="786" spans="3:14" x14ac:dyDescent="0.2"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</row>
    <row r="787" spans="3:14" x14ac:dyDescent="0.2"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</row>
    <row r="788" spans="3:14" x14ac:dyDescent="0.2"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</row>
    <row r="789" spans="3:14" x14ac:dyDescent="0.2"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</row>
    <row r="790" spans="3:14" x14ac:dyDescent="0.2"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</row>
    <row r="791" spans="3:14" x14ac:dyDescent="0.2"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</row>
    <row r="792" spans="3:14" x14ac:dyDescent="0.2"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</row>
    <row r="793" spans="3:14" x14ac:dyDescent="0.2"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</row>
    <row r="794" spans="3:14" x14ac:dyDescent="0.2"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</row>
    <row r="795" spans="3:14" x14ac:dyDescent="0.2"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</row>
    <row r="796" spans="3:14" x14ac:dyDescent="0.2"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</row>
    <row r="797" spans="3:14" x14ac:dyDescent="0.2"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</row>
    <row r="798" spans="3:14" x14ac:dyDescent="0.2"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</row>
    <row r="799" spans="3:14" x14ac:dyDescent="0.2"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</row>
    <row r="800" spans="3:14" x14ac:dyDescent="0.2"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</row>
    <row r="801" spans="3:14" x14ac:dyDescent="0.2"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</row>
    <row r="802" spans="3:14" x14ac:dyDescent="0.2"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</row>
    <row r="803" spans="3:14" x14ac:dyDescent="0.2"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</row>
    <row r="804" spans="3:14" x14ac:dyDescent="0.2"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</row>
    <row r="805" spans="3:14" x14ac:dyDescent="0.2"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</row>
    <row r="806" spans="3:14" x14ac:dyDescent="0.2"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</row>
    <row r="807" spans="3:14" x14ac:dyDescent="0.2"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</row>
    <row r="808" spans="3:14" x14ac:dyDescent="0.2"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</row>
    <row r="809" spans="3:14" x14ac:dyDescent="0.2"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</row>
    <row r="810" spans="3:14" x14ac:dyDescent="0.2"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</row>
    <row r="811" spans="3:14" x14ac:dyDescent="0.2"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</row>
    <row r="812" spans="3:14" x14ac:dyDescent="0.2"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</row>
    <row r="813" spans="3:14" x14ac:dyDescent="0.2"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</row>
    <row r="814" spans="3:14" x14ac:dyDescent="0.2"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</row>
    <row r="815" spans="3:14" x14ac:dyDescent="0.2"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</row>
    <row r="816" spans="3:14" x14ac:dyDescent="0.2"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</row>
    <row r="817" spans="3:14" x14ac:dyDescent="0.2"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</row>
    <row r="818" spans="3:14" x14ac:dyDescent="0.2"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</row>
    <row r="819" spans="3:14" x14ac:dyDescent="0.2"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</row>
    <row r="820" spans="3:14" x14ac:dyDescent="0.2"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</row>
    <row r="821" spans="3:14" x14ac:dyDescent="0.2"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</row>
    <row r="822" spans="3:14" x14ac:dyDescent="0.2"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</row>
    <row r="823" spans="3:14" x14ac:dyDescent="0.2"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</row>
    <row r="824" spans="3:14" x14ac:dyDescent="0.2"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</row>
    <row r="825" spans="3:14" x14ac:dyDescent="0.2"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</row>
    <row r="826" spans="3:14" x14ac:dyDescent="0.2"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</row>
    <row r="827" spans="3:14" x14ac:dyDescent="0.2"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</row>
    <row r="828" spans="3:14" x14ac:dyDescent="0.2"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</row>
    <row r="829" spans="3:14" x14ac:dyDescent="0.2"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</row>
    <row r="830" spans="3:14" x14ac:dyDescent="0.2"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</row>
    <row r="831" spans="3:14" x14ac:dyDescent="0.2"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</row>
    <row r="832" spans="3:14" x14ac:dyDescent="0.2"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</row>
    <row r="833" spans="3:14" x14ac:dyDescent="0.2"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</row>
    <row r="834" spans="3:14" x14ac:dyDescent="0.2"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</row>
    <row r="835" spans="3:14" x14ac:dyDescent="0.2"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</row>
    <row r="836" spans="3:14" x14ac:dyDescent="0.2"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</row>
    <row r="837" spans="3:14" x14ac:dyDescent="0.2"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</row>
    <row r="838" spans="3:14" x14ac:dyDescent="0.2"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</row>
    <row r="839" spans="3:14" x14ac:dyDescent="0.2"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</row>
    <row r="840" spans="3:14" x14ac:dyDescent="0.2"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</row>
    <row r="841" spans="3:14" x14ac:dyDescent="0.2"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</row>
    <row r="842" spans="3:14" x14ac:dyDescent="0.2"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</row>
    <row r="843" spans="3:14" x14ac:dyDescent="0.2"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</row>
    <row r="844" spans="3:14" x14ac:dyDescent="0.2"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</row>
    <row r="845" spans="3:14" x14ac:dyDescent="0.2"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</row>
    <row r="846" spans="3:14" x14ac:dyDescent="0.2"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</row>
    <row r="847" spans="3:14" x14ac:dyDescent="0.2"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</row>
    <row r="848" spans="3:14" x14ac:dyDescent="0.2"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</row>
    <row r="849" spans="3:14" x14ac:dyDescent="0.2"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</row>
    <row r="850" spans="3:14" x14ac:dyDescent="0.2"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</row>
    <row r="851" spans="3:14" x14ac:dyDescent="0.2"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</row>
    <row r="852" spans="3:14" x14ac:dyDescent="0.2"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</row>
    <row r="853" spans="3:14" x14ac:dyDescent="0.2"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</row>
    <row r="854" spans="3:14" x14ac:dyDescent="0.2"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</row>
    <row r="855" spans="3:14" x14ac:dyDescent="0.2"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</row>
    <row r="856" spans="3:14" x14ac:dyDescent="0.2"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</row>
    <row r="857" spans="3:14" x14ac:dyDescent="0.2"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</row>
    <row r="858" spans="3:14" x14ac:dyDescent="0.2"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</row>
    <row r="859" spans="3:14" x14ac:dyDescent="0.2"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</row>
    <row r="860" spans="3:14" x14ac:dyDescent="0.2"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</row>
    <row r="861" spans="3:14" x14ac:dyDescent="0.2"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</row>
    <row r="862" spans="3:14" x14ac:dyDescent="0.2"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</row>
    <row r="863" spans="3:14" x14ac:dyDescent="0.2"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</row>
    <row r="864" spans="3:14" x14ac:dyDescent="0.2"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</row>
    <row r="865" spans="3:14" x14ac:dyDescent="0.2"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</row>
    <row r="866" spans="3:14" x14ac:dyDescent="0.2"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</row>
    <row r="867" spans="3:14" x14ac:dyDescent="0.2"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</row>
    <row r="868" spans="3:14" x14ac:dyDescent="0.2"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</row>
    <row r="869" spans="3:14" x14ac:dyDescent="0.2"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</row>
    <row r="870" spans="3:14" x14ac:dyDescent="0.2"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</row>
    <row r="871" spans="3:14" x14ac:dyDescent="0.2"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</row>
    <row r="872" spans="3:14" x14ac:dyDescent="0.2"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</row>
    <row r="873" spans="3:14" x14ac:dyDescent="0.2"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</row>
    <row r="874" spans="3:14" x14ac:dyDescent="0.2"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</row>
    <row r="875" spans="3:14" x14ac:dyDescent="0.2"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</row>
    <row r="876" spans="3:14" x14ac:dyDescent="0.2"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</row>
    <row r="877" spans="3:14" x14ac:dyDescent="0.2"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</row>
    <row r="878" spans="3:14" x14ac:dyDescent="0.2"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</row>
    <row r="879" spans="3:14" x14ac:dyDescent="0.2"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</row>
    <row r="880" spans="3:14" x14ac:dyDescent="0.2"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</row>
    <row r="881" spans="3:14" x14ac:dyDescent="0.2"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</row>
    <row r="882" spans="3:14" x14ac:dyDescent="0.2"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</row>
    <row r="883" spans="3:14" x14ac:dyDescent="0.2"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</row>
    <row r="884" spans="3:14" x14ac:dyDescent="0.2"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</row>
    <row r="885" spans="3:14" x14ac:dyDescent="0.2"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</row>
    <row r="886" spans="3:14" x14ac:dyDescent="0.2"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</row>
    <row r="887" spans="3:14" x14ac:dyDescent="0.2"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</row>
    <row r="888" spans="3:14" x14ac:dyDescent="0.2"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</row>
    <row r="889" spans="3:14" x14ac:dyDescent="0.2"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</row>
    <row r="890" spans="3:14" x14ac:dyDescent="0.2"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</row>
    <row r="891" spans="3:14" x14ac:dyDescent="0.2"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</row>
    <row r="892" spans="3:14" x14ac:dyDescent="0.2"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</row>
    <row r="893" spans="3:14" x14ac:dyDescent="0.2"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</row>
    <row r="894" spans="3:14" x14ac:dyDescent="0.2"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</row>
    <row r="895" spans="3:14" x14ac:dyDescent="0.2"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</row>
    <row r="896" spans="3:14" x14ac:dyDescent="0.2"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</row>
    <row r="897" spans="3:14" x14ac:dyDescent="0.2"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</row>
    <row r="898" spans="3:14" x14ac:dyDescent="0.2"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</row>
    <row r="899" spans="3:14" x14ac:dyDescent="0.2"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</row>
    <row r="900" spans="3:14" x14ac:dyDescent="0.2"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</row>
    <row r="901" spans="3:14" x14ac:dyDescent="0.2"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</row>
    <row r="902" spans="3:14" x14ac:dyDescent="0.2"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</row>
    <row r="903" spans="3:14" x14ac:dyDescent="0.2"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</row>
    <row r="904" spans="3:14" x14ac:dyDescent="0.2"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</row>
    <row r="905" spans="3:14" x14ac:dyDescent="0.2"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</row>
    <row r="906" spans="3:14" x14ac:dyDescent="0.2"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</row>
    <row r="907" spans="3:14" x14ac:dyDescent="0.2"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</row>
    <row r="908" spans="3:14" x14ac:dyDescent="0.2"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</row>
    <row r="909" spans="3:14" x14ac:dyDescent="0.2"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</row>
    <row r="910" spans="3:14" x14ac:dyDescent="0.2"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</row>
    <row r="911" spans="3:14" x14ac:dyDescent="0.2"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</row>
    <row r="912" spans="3:14" x14ac:dyDescent="0.2"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</row>
    <row r="913" spans="3:14" x14ac:dyDescent="0.2"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</row>
    <row r="914" spans="3:14" x14ac:dyDescent="0.2"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</row>
    <row r="915" spans="3:14" x14ac:dyDescent="0.2"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</row>
    <row r="916" spans="3:14" x14ac:dyDescent="0.2"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</row>
    <row r="917" spans="3:14" x14ac:dyDescent="0.2"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</row>
    <row r="918" spans="3:14" x14ac:dyDescent="0.2"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</row>
    <row r="919" spans="3:14" x14ac:dyDescent="0.2"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</row>
    <row r="920" spans="3:14" x14ac:dyDescent="0.2"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</row>
    <row r="921" spans="3:14" x14ac:dyDescent="0.2"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</row>
    <row r="922" spans="3:14" x14ac:dyDescent="0.2"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</row>
    <row r="923" spans="3:14" x14ac:dyDescent="0.2"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</row>
    <row r="924" spans="3:14" x14ac:dyDescent="0.2"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</row>
    <row r="925" spans="3:14" x14ac:dyDescent="0.2"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</row>
    <row r="926" spans="3:14" x14ac:dyDescent="0.2"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</row>
    <row r="927" spans="3:14" x14ac:dyDescent="0.2"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</row>
    <row r="928" spans="3:14" x14ac:dyDescent="0.2"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</row>
    <row r="929" spans="3:14" x14ac:dyDescent="0.2"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</row>
    <row r="930" spans="3:14" x14ac:dyDescent="0.2"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</row>
    <row r="931" spans="3:14" x14ac:dyDescent="0.2"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</row>
    <row r="932" spans="3:14" x14ac:dyDescent="0.2"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</row>
    <row r="933" spans="3:14" x14ac:dyDescent="0.2"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</row>
    <row r="934" spans="3:14" x14ac:dyDescent="0.2"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</row>
    <row r="935" spans="3:14" x14ac:dyDescent="0.2"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</row>
    <row r="936" spans="3:14" x14ac:dyDescent="0.2"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</row>
    <row r="937" spans="3:14" x14ac:dyDescent="0.2"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</row>
    <row r="938" spans="3:14" x14ac:dyDescent="0.2"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</row>
    <row r="939" spans="3:14" x14ac:dyDescent="0.2"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</row>
    <row r="940" spans="3:14" x14ac:dyDescent="0.2"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</row>
    <row r="941" spans="3:14" x14ac:dyDescent="0.2"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</row>
    <row r="942" spans="3:14" x14ac:dyDescent="0.2"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</row>
    <row r="943" spans="3:14" x14ac:dyDescent="0.2"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</row>
    <row r="944" spans="3:14" x14ac:dyDescent="0.2"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</row>
    <row r="945" spans="3:14" x14ac:dyDescent="0.2"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</row>
    <row r="946" spans="3:14" x14ac:dyDescent="0.2"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</row>
    <row r="947" spans="3:14" x14ac:dyDescent="0.2"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</row>
    <row r="948" spans="3:14" x14ac:dyDescent="0.2"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</row>
    <row r="949" spans="3:14" x14ac:dyDescent="0.2"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</row>
    <row r="950" spans="3:14" x14ac:dyDescent="0.2"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</row>
    <row r="951" spans="3:14" x14ac:dyDescent="0.2"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</row>
    <row r="952" spans="3:14" x14ac:dyDescent="0.2"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</row>
    <row r="953" spans="3:14" x14ac:dyDescent="0.2"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</row>
    <row r="954" spans="3:14" x14ac:dyDescent="0.2"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</row>
    <row r="955" spans="3:14" x14ac:dyDescent="0.2"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</row>
    <row r="956" spans="3:14" x14ac:dyDescent="0.2"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</row>
    <row r="957" spans="3:14" x14ac:dyDescent="0.2"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</row>
    <row r="958" spans="3:14" x14ac:dyDescent="0.2"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</row>
    <row r="959" spans="3:14" x14ac:dyDescent="0.2"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</row>
    <row r="960" spans="3:14" x14ac:dyDescent="0.2"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</row>
    <row r="961" spans="3:14" x14ac:dyDescent="0.2"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</row>
    <row r="962" spans="3:14" x14ac:dyDescent="0.2"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</row>
    <row r="963" spans="3:14" x14ac:dyDescent="0.2"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</row>
    <row r="964" spans="3:14" x14ac:dyDescent="0.2"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</row>
    <row r="965" spans="3:14" x14ac:dyDescent="0.2"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</row>
    <row r="966" spans="3:14" x14ac:dyDescent="0.2"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</row>
    <row r="967" spans="3:14" x14ac:dyDescent="0.2"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</row>
    <row r="968" spans="3:14" x14ac:dyDescent="0.2"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</row>
    <row r="969" spans="3:14" x14ac:dyDescent="0.2"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</row>
    <row r="970" spans="3:14" x14ac:dyDescent="0.2"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</row>
    <row r="971" spans="3:14" x14ac:dyDescent="0.2"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B3DF94D-8071-4061-AF8F-A09738B55F0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958F70E-DE9D-4F4E-8F2A-55E4112F4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EDB9A-6D96-4EAC-971E-FABAE91D7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11</vt:i4>
      </vt:variant>
    </vt:vector>
  </HeadingPairs>
  <TitlesOfParts>
    <vt:vector size="41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 melléklet</vt:lpstr>
      <vt:lpstr>14.sz.melléklet</vt:lpstr>
      <vt:lpstr>14.a.sz. melléklet</vt:lpstr>
      <vt:lpstr>15.sz.melléklet</vt:lpstr>
      <vt:lpstr>15.a.sz.melléklet</vt:lpstr>
      <vt:lpstr>16.sz. melléklet</vt:lpstr>
      <vt:lpstr>16.a.sz. melléklet</vt:lpstr>
      <vt:lpstr>17. sz.melléklet</vt:lpstr>
      <vt:lpstr>18.sz.melléklet</vt:lpstr>
      <vt:lpstr>19.sz.melléklet</vt:lpstr>
      <vt:lpstr>'6. sz.melléklet'!Nyomtatási_cím</vt:lpstr>
      <vt:lpstr>'1.sz. melléklet'!Nyomtatási_terület</vt:lpstr>
      <vt:lpstr>'10.sz. melléklet '!Nyomtatási_terület</vt:lpstr>
      <vt:lpstr>'17. sz.melléklet'!Nyomtatási_terület</vt:lpstr>
      <vt:lpstr>'4. sz.melléklet'!Nyomtatási_terület</vt:lpstr>
      <vt:lpstr>'5. sz.melléklet'!Nyomtatási_terület</vt:lpstr>
      <vt:lpstr>'5.b.sz. 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Judit</cp:lastModifiedBy>
  <cp:lastPrinted>2016-02-10T14:21:42Z</cp:lastPrinted>
  <dcterms:created xsi:type="dcterms:W3CDTF">2002-01-23T07:14:43Z</dcterms:created>
  <dcterms:modified xsi:type="dcterms:W3CDTF">2016-02-16T12:48:02Z</dcterms:modified>
</cp:coreProperties>
</file>