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3256" windowHeight="13176" tabRatio="581" firstSheet="25" activeTab="31"/>
  </bookViews>
  <sheets>
    <sheet name="0000000000000" sheetId="1" state="veryHidden" r:id="rId1"/>
    <sheet name="1.sz. melléklet" sheetId="46" r:id="rId2"/>
    <sheet name="2.sz.melléklet" sheetId="55" r:id="rId3"/>
    <sheet name="3.sz.melléklet" sheetId="54" r:id="rId4"/>
    <sheet name="4. sz.melléklet" sheetId="56" r:id="rId5"/>
    <sheet name="5. sz.melléklet" sheetId="43" r:id="rId6"/>
    <sheet name="5.a.sz. melléklet" sheetId="45" r:id="rId7"/>
    <sheet name="5.b.sz. melléklet" sheetId="3" r:id="rId8"/>
    <sheet name="6. sz.melléklet" sheetId="44" r:id="rId9"/>
    <sheet name="6.a.sz. melléklet" sheetId="9" r:id="rId10"/>
    <sheet name="6.b.sz.melléklet" sheetId="8" r:id="rId11"/>
    <sheet name="6.c.sz. melléklet" sheetId="34" r:id="rId12"/>
    <sheet name="7.sz.melléklet" sheetId="49" r:id="rId13"/>
    <sheet name="8.sz. melléklet" sheetId="31" r:id="rId14"/>
    <sheet name="9.sz. melléklet" sheetId="35" r:id="rId15"/>
    <sheet name="10.sz. melléklet " sheetId="47" r:id="rId16"/>
    <sheet name="11.sz.melléklet" sheetId="50" r:id="rId17"/>
    <sheet name="11.a.sz.melléklet" sheetId="53" r:id="rId18"/>
    <sheet name="12.sz.melléklet" sheetId="10" r:id="rId19"/>
    <sheet name="12.a.sz.melléklet" sheetId="52" r:id="rId20"/>
    <sheet name="13.sz.melléklet" sheetId="41" r:id="rId21"/>
    <sheet name="13.a.sz. melléklet" sheetId="58" r:id="rId22"/>
    <sheet name="14.sz.melléklet" sheetId="38" r:id="rId23"/>
    <sheet name="14.a.sz. melléklet" sheetId="59" r:id="rId24"/>
    <sheet name="15.sz.melléklet" sheetId="39" r:id="rId25"/>
    <sheet name="15.a.sz.melléklet" sheetId="60" r:id="rId26"/>
    <sheet name="16.sz. melléklet" sheetId="40" r:id="rId27"/>
    <sheet name="16.a.sz. melléklet" sheetId="61" r:id="rId28"/>
    <sheet name="17. sz.melléklet" sheetId="21" r:id="rId29"/>
    <sheet name="18.sz.melléklet" sheetId="51" r:id="rId30"/>
    <sheet name="19.sz.melléklet" sheetId="62" r:id="rId31"/>
    <sheet name="20.sz. melléklet" sheetId="63" r:id="rId32"/>
  </sheets>
  <definedNames>
    <definedName name="_xlnm.Print_Titles" localSheetId="8">'6. sz.melléklet'!$3:$3</definedName>
    <definedName name="_xlnm.Print_Area" localSheetId="1">'1.sz. melléklet'!$A$1:$Q$31</definedName>
    <definedName name="_xlnm.Print_Area" localSheetId="15">'10.sz. melléklet '!$A$1:$H$8</definedName>
    <definedName name="_xlnm.Print_Area" localSheetId="28">'17. sz.melléklet'!$A$1:$N$106</definedName>
    <definedName name="_xlnm.Print_Area" localSheetId="4">'4. sz.melléklet'!$A$1:$N$32</definedName>
    <definedName name="_xlnm.Print_Area" localSheetId="5">'5. sz.melléklet'!$A$1:$F$56</definedName>
    <definedName name="_xlnm.Print_Area" localSheetId="7">'5.b.sz. melléklet'!$A$1:$F$34</definedName>
    <definedName name="_xlnm.Print_Area" localSheetId="13">'8.sz. melléklet'!$A$1:$G$62</definedName>
    <definedName name="_xlnm.Print_Area" localSheetId="14">'9.sz. melléklet'!$A$1:$J$23</definedName>
    <definedName name="sora__5" localSheetId="17">'11.a.sz.melléklet'!$A$15</definedName>
    <definedName name="sora__5" localSheetId="16">'11.sz.melléklet'!$A$8</definedName>
    <definedName name="sora__6" localSheetId="17">'11.a.sz.melléklet'!#REF!</definedName>
    <definedName name="sora__6" localSheetId="16">'11.sz.melléklet'!#REF!</definedName>
    <definedName name="sora__7" localSheetId="17">'11.a.sz.melléklet'!#REF!</definedName>
    <definedName name="sora__7" localSheetId="16">'11.sz.melléklet'!#REF!</definedName>
    <definedName name="sora__8" localSheetId="17">'11.a.sz.melléklet'!#REF!</definedName>
    <definedName name="sora__8" localSheetId="16">'11.sz.melléklet'!#REF!</definedName>
    <definedName name="sora__9" localSheetId="17">'11.a.sz.melléklet'!#REF!</definedName>
    <definedName name="sora__9" localSheetId="16">'11.sz.melléklet'!#REF!</definedName>
    <definedName name="sora__a" localSheetId="17">'11.a.sz.melléklet'!#REF!</definedName>
    <definedName name="sora__a" localSheetId="16">'11.sz.melléklet'!#REF!</definedName>
    <definedName name="sora__b" localSheetId="17">'11.a.sz.melléklet'!#REF!</definedName>
    <definedName name="sora__b" localSheetId="16">'11.sz.melléklet'!#REF!</definedName>
  </definedNames>
  <calcPr calcId="181029"/>
</workbook>
</file>

<file path=xl/calcChain.xml><?xml version="1.0" encoding="utf-8"?>
<calcChain xmlns="http://schemas.openxmlformats.org/spreadsheetml/2006/main">
  <c r="F48" i="31" l="1"/>
  <c r="H25" i="21" l="1"/>
  <c r="E11" i="56"/>
  <c r="E7" i="39" l="1"/>
  <c r="H8" i="63" l="1"/>
  <c r="E8" i="63"/>
  <c r="E4" i="63"/>
  <c r="I85" i="44" l="1"/>
  <c r="I65" i="21" l="1"/>
  <c r="G290" i="55"/>
  <c r="E147" i="55"/>
  <c r="E252" i="55"/>
  <c r="D248" i="55"/>
  <c r="B46" i="21"/>
  <c r="M22" i="21"/>
  <c r="J22" i="21"/>
  <c r="F15" i="38"/>
  <c r="E7" i="41"/>
  <c r="B32" i="10"/>
  <c r="I24" i="53"/>
  <c r="H61" i="44"/>
  <c r="I6" i="44"/>
  <c r="J82" i="21" l="1"/>
  <c r="E25" i="21"/>
  <c r="D22" i="21"/>
  <c r="K22" i="21"/>
  <c r="H22" i="21"/>
  <c r="J21" i="21"/>
  <c r="I21" i="21"/>
  <c r="E21" i="21"/>
  <c r="F32" i="10"/>
  <c r="I123" i="44" l="1"/>
  <c r="E109" i="49"/>
  <c r="E177" i="49"/>
  <c r="D13" i="34"/>
  <c r="D12" i="34"/>
  <c r="F7" i="39"/>
  <c r="I12" i="60"/>
  <c r="D6" i="9"/>
  <c r="G21" i="21" s="1"/>
  <c r="H8" i="9"/>
  <c r="H15" i="9"/>
  <c r="I16" i="9"/>
  <c r="H32" i="9"/>
  <c r="H38" i="9"/>
  <c r="H45" i="9" s="1"/>
  <c r="H46" i="9" s="1"/>
  <c r="D45" i="9"/>
  <c r="E45" i="9"/>
  <c r="F45" i="9"/>
  <c r="I45" i="9"/>
  <c r="I199" i="49" l="1"/>
  <c r="I274" i="55"/>
  <c r="I47" i="9"/>
  <c r="D65" i="44"/>
  <c r="E10" i="44"/>
  <c r="E15" i="39"/>
  <c r="E11" i="39"/>
  <c r="D7" i="38"/>
  <c r="C7" i="38"/>
  <c r="F123" i="44"/>
  <c r="J14" i="34" l="1"/>
  <c r="J12" i="34"/>
  <c r="D14" i="34" l="1"/>
  <c r="E19" i="40"/>
  <c r="I10" i="61"/>
  <c r="B6" i="8"/>
  <c r="F8" i="63"/>
  <c r="D6" i="44"/>
  <c r="D29" i="44"/>
  <c r="D37" i="44"/>
  <c r="F11" i="39"/>
  <c r="F7" i="38"/>
  <c r="F19" i="38"/>
  <c r="I7" i="58" l="1"/>
  <c r="B23" i="10" l="1"/>
  <c r="H6" i="44" l="1"/>
  <c r="H97" i="44"/>
  <c r="H65" i="44"/>
  <c r="G11" i="45"/>
  <c r="F23" i="45"/>
  <c r="C45" i="43"/>
  <c r="G7" i="45"/>
  <c r="I7" i="59" l="1"/>
  <c r="D17" i="3" l="1"/>
  <c r="D19" i="3"/>
  <c r="D16" i="3"/>
  <c r="D15" i="3"/>
  <c r="H5" i="63"/>
  <c r="C24" i="43" l="1"/>
  <c r="D25" i="56"/>
  <c r="E25" i="56"/>
  <c r="F25" i="56"/>
  <c r="G25" i="56"/>
  <c r="H25" i="56"/>
  <c r="I25" i="56"/>
  <c r="K25" i="56"/>
  <c r="L25" i="56"/>
  <c r="M25" i="56"/>
  <c r="N25" i="56"/>
  <c r="D24" i="56"/>
  <c r="E24" i="56"/>
  <c r="G24" i="56"/>
  <c r="I24" i="56"/>
  <c r="J24" i="56"/>
  <c r="K24" i="56"/>
  <c r="L24" i="56"/>
  <c r="M24" i="56"/>
  <c r="N24" i="56"/>
  <c r="D21" i="56"/>
  <c r="M21" i="56"/>
  <c r="N21" i="56"/>
  <c r="D14" i="56"/>
  <c r="E14" i="56"/>
  <c r="F14" i="56"/>
  <c r="G14" i="56"/>
  <c r="H14" i="56"/>
  <c r="I14" i="56"/>
  <c r="J14" i="56"/>
  <c r="K14" i="56"/>
  <c r="L14" i="56"/>
  <c r="M14" i="56"/>
  <c r="N14" i="56"/>
  <c r="D11" i="56"/>
  <c r="F11" i="56"/>
  <c r="H11" i="56"/>
  <c r="K11" i="56"/>
  <c r="L11" i="56"/>
  <c r="N11" i="56"/>
  <c r="C11" i="56"/>
  <c r="C14" i="56"/>
  <c r="M11" i="21"/>
  <c r="M11" i="56" s="1"/>
  <c r="J11" i="21"/>
  <c r="J11" i="56" s="1"/>
  <c r="G11" i="21"/>
  <c r="K21" i="56"/>
  <c r="H21" i="21"/>
  <c r="H21" i="56" s="1"/>
  <c r="F21" i="21"/>
  <c r="F21" i="56" s="1"/>
  <c r="L22" i="21"/>
  <c r="L21" i="21"/>
  <c r="L21" i="56" s="1"/>
  <c r="J21" i="56"/>
  <c r="I21" i="56"/>
  <c r="G21" i="56"/>
  <c r="E21" i="56"/>
  <c r="G11" i="56" l="1"/>
  <c r="J25" i="56"/>
  <c r="I11" i="21"/>
  <c r="G100" i="21"/>
  <c r="H100" i="21"/>
  <c r="I100" i="21"/>
  <c r="K100" i="21"/>
  <c r="L100" i="21"/>
  <c r="M100" i="21"/>
  <c r="N100" i="21"/>
  <c r="F100" i="21"/>
  <c r="E100" i="21"/>
  <c r="D82" i="21"/>
  <c r="C82" i="21"/>
  <c r="E82" i="21"/>
  <c r="J65" i="21"/>
  <c r="G65" i="21"/>
  <c r="E46" i="21"/>
  <c r="H22" i="56" s="1"/>
  <c r="D46" i="21"/>
  <c r="D22" i="56" s="1"/>
  <c r="B13" i="62"/>
  <c r="N18" i="62"/>
  <c r="K18" i="62"/>
  <c r="H18" i="62"/>
  <c r="E18" i="62"/>
  <c r="B18" i="62"/>
  <c r="I17" i="62"/>
  <c r="I18" i="62" s="1"/>
  <c r="C17" i="62"/>
  <c r="C18" i="62" s="1"/>
  <c r="J17" i="62" l="1"/>
  <c r="J18" i="62" s="1"/>
  <c r="G22" i="56"/>
  <c r="I46" i="21"/>
  <c r="E22" i="56"/>
  <c r="F46" i="21"/>
  <c r="F22" i="56" s="1"/>
  <c r="J46" i="21" l="1"/>
  <c r="I22" i="56"/>
  <c r="E55" i="39"/>
  <c r="C19" i="39"/>
  <c r="J22" i="56" l="1"/>
  <c r="K46" i="21"/>
  <c r="K22" i="56" l="1"/>
  <c r="L46" i="21"/>
  <c r="H10" i="44"/>
  <c r="L22" i="56" l="1"/>
  <c r="M46" i="21"/>
  <c r="E88" i="49"/>
  <c r="G88" i="49"/>
  <c r="H88" i="49"/>
  <c r="I88" i="49"/>
  <c r="J88" i="49"/>
  <c r="K88" i="49"/>
  <c r="C82" i="49"/>
  <c r="L82" i="49" s="1"/>
  <c r="N46" i="21" l="1"/>
  <c r="N22" i="56" s="1"/>
  <c r="M22" i="56"/>
  <c r="H248" i="55" l="1"/>
  <c r="C248" i="55"/>
  <c r="H92" i="55"/>
  <c r="C30" i="55"/>
  <c r="L30" i="55" s="1"/>
  <c r="D132" i="44" l="1"/>
  <c r="E132" i="44"/>
  <c r="F132" i="44"/>
  <c r="C132" i="44"/>
  <c r="N97" i="44" l="1"/>
  <c r="H177" i="49"/>
  <c r="N177" i="49" s="1"/>
  <c r="H252" i="55"/>
  <c r="N252" i="55" s="1"/>
  <c r="F67" i="38"/>
  <c r="C67" i="38"/>
  <c r="J15" i="59" l="1"/>
  <c r="J13" i="59"/>
  <c r="B8" i="46" l="1"/>
  <c r="B11" i="46"/>
  <c r="J6" i="44" l="1"/>
  <c r="B38" i="8"/>
  <c r="H24" i="21" s="1"/>
  <c r="H24" i="56" s="1"/>
  <c r="E129" i="55"/>
  <c r="G129" i="55"/>
  <c r="H129" i="55"/>
  <c r="I129" i="55"/>
  <c r="J129" i="55"/>
  <c r="K129" i="55"/>
  <c r="C122" i="55"/>
  <c r="L122" i="55" s="1"/>
  <c r="C26" i="43"/>
  <c r="F89" i="45"/>
  <c r="H89" i="45"/>
  <c r="J89" i="45"/>
  <c r="K89" i="45"/>
  <c r="F41" i="31" s="1"/>
  <c r="C89" i="45"/>
  <c r="L31" i="45"/>
  <c r="G67" i="45"/>
  <c r="G89" i="45" s="1"/>
  <c r="C52" i="43"/>
  <c r="C53" i="43"/>
  <c r="G6" i="49" l="1"/>
  <c r="G6" i="55"/>
  <c r="G60" i="55"/>
  <c r="G50" i="49"/>
  <c r="J101" i="49"/>
  <c r="J143" i="55"/>
  <c r="L67" i="45"/>
  <c r="C86" i="40"/>
  <c r="C42" i="40"/>
  <c r="F47" i="41" l="1"/>
  <c r="K27" i="53" l="1"/>
  <c r="J27" i="53"/>
  <c r="I27" i="53"/>
  <c r="F43" i="31" l="1"/>
  <c r="E309" i="55"/>
  <c r="E211" i="55"/>
  <c r="E187" i="55"/>
  <c r="H211" i="55"/>
  <c r="M278" i="55"/>
  <c r="F330" i="55"/>
  <c r="G330" i="55"/>
  <c r="J330" i="55"/>
  <c r="K330" i="55"/>
  <c r="L330" i="55"/>
  <c r="M330" i="55"/>
  <c r="E258" i="55"/>
  <c r="F266" i="55"/>
  <c r="M147" i="55"/>
  <c r="F18" i="54" s="1"/>
  <c r="F52" i="55"/>
  <c r="C32" i="55"/>
  <c r="C74" i="55"/>
  <c r="E103" i="55"/>
  <c r="F103" i="55"/>
  <c r="G103" i="55"/>
  <c r="H103" i="55"/>
  <c r="I103" i="55"/>
  <c r="J103" i="55"/>
  <c r="K103" i="55"/>
  <c r="O17" i="62"/>
  <c r="L17" i="62"/>
  <c r="F17" i="62"/>
  <c r="D17" i="62"/>
  <c r="D18" i="62" s="1"/>
  <c r="N28" i="62"/>
  <c r="N12" i="62" s="1"/>
  <c r="K28" i="62"/>
  <c r="K12" i="62" s="1"/>
  <c r="I28" i="62"/>
  <c r="I12" i="62" s="1"/>
  <c r="H28" i="62"/>
  <c r="H12" i="62" s="1"/>
  <c r="E28" i="62"/>
  <c r="E12" i="62" s="1"/>
  <c r="C13" i="62"/>
  <c r="N13" i="62"/>
  <c r="K13" i="62"/>
  <c r="I13" i="62"/>
  <c r="H13" i="62"/>
  <c r="E13" i="62"/>
  <c r="E137" i="49"/>
  <c r="E121" i="49"/>
  <c r="F233" i="49"/>
  <c r="G233" i="49"/>
  <c r="H233" i="49"/>
  <c r="J233" i="49"/>
  <c r="K233" i="49"/>
  <c r="L233" i="49"/>
  <c r="M233" i="49"/>
  <c r="M203" i="49"/>
  <c r="F191" i="49"/>
  <c r="N191" i="49" s="1"/>
  <c r="E183" i="49"/>
  <c r="C54" i="49"/>
  <c r="F56" i="49"/>
  <c r="L56" i="49" s="1"/>
  <c r="C30" i="49"/>
  <c r="B25" i="62" l="1"/>
  <c r="B26" i="62" s="1"/>
  <c r="L18" i="62"/>
  <c r="L28" i="62" s="1"/>
  <c r="L12" i="62" s="1"/>
  <c r="L13" i="62" s="1"/>
  <c r="M283" i="55"/>
  <c r="G17" i="62"/>
  <c r="G18" i="62" s="1"/>
  <c r="F18" i="62"/>
  <c r="F28" i="62" s="1"/>
  <c r="F12" i="62" s="1"/>
  <c r="F13" i="62" s="1"/>
  <c r="P17" i="62"/>
  <c r="P18" i="62" s="1"/>
  <c r="O18" i="62"/>
  <c r="N211" i="55"/>
  <c r="F17" i="54"/>
  <c r="O28" i="62"/>
  <c r="O12" i="62" s="1"/>
  <c r="O13" i="62" s="1"/>
  <c r="M17" i="62"/>
  <c r="M18" i="62" s="1"/>
  <c r="L10" i="44"/>
  <c r="B22" i="10"/>
  <c r="B28" i="62" l="1"/>
  <c r="C25" i="62"/>
  <c r="C26" i="62" s="1"/>
  <c r="C28" i="62" s="1"/>
  <c r="L132" i="44"/>
  <c r="B28" i="46"/>
  <c r="L105" i="49" s="1"/>
  <c r="L207" i="49" s="1"/>
  <c r="I14" i="50"/>
  <c r="C44" i="43"/>
  <c r="I11" i="45" s="1"/>
  <c r="C30" i="43"/>
  <c r="C23" i="43" s="1"/>
  <c r="C17" i="43"/>
  <c r="C16" i="43"/>
  <c r="C12" i="43"/>
  <c r="I10" i="50" l="1"/>
  <c r="C7" i="43"/>
  <c r="D81" i="45" s="1"/>
  <c r="L155" i="55"/>
  <c r="L283" i="55" s="1"/>
  <c r="E12" i="43"/>
  <c r="D12" i="21"/>
  <c r="C12" i="21"/>
  <c r="E12" i="21"/>
  <c r="H101" i="49"/>
  <c r="H143" i="55"/>
  <c r="H132" i="44"/>
  <c r="K133" i="44"/>
  <c r="L133" i="44"/>
  <c r="I77" i="44"/>
  <c r="I73" i="44"/>
  <c r="I25" i="44"/>
  <c r="G10" i="44"/>
  <c r="G132" i="44" s="1"/>
  <c r="L77" i="45"/>
  <c r="L81" i="45"/>
  <c r="C120" i="44"/>
  <c r="D24" i="3"/>
  <c r="E15" i="45" s="1"/>
  <c r="E89" i="45" s="1"/>
  <c r="D89" i="45" l="1"/>
  <c r="D82" i="55"/>
  <c r="D58" i="49"/>
  <c r="I12" i="21"/>
  <c r="E12" i="56"/>
  <c r="G12" i="21"/>
  <c r="N12" i="21" s="1"/>
  <c r="D12" i="56"/>
  <c r="F12" i="21"/>
  <c r="C12" i="56"/>
  <c r="H191" i="55"/>
  <c r="H141" i="49"/>
  <c r="I305" i="55"/>
  <c r="I330" i="55" s="1"/>
  <c r="I213" i="49"/>
  <c r="I233" i="49" s="1"/>
  <c r="I203" i="55"/>
  <c r="I153" i="49"/>
  <c r="B41" i="8"/>
  <c r="I17" i="44" s="1"/>
  <c r="I151" i="55" s="1"/>
  <c r="N151" i="55" s="1"/>
  <c r="N17" i="44" l="1"/>
  <c r="I113" i="49"/>
  <c r="N113" i="49" s="1"/>
  <c r="I132" i="44"/>
  <c r="K9" i="21"/>
  <c r="K9" i="56" s="1"/>
  <c r="E9" i="21"/>
  <c r="D66" i="49"/>
  <c r="L58" i="49"/>
  <c r="M9" i="21"/>
  <c r="M9" i="56" s="1"/>
  <c r="H9" i="21"/>
  <c r="H9" i="56" s="1"/>
  <c r="C9" i="21"/>
  <c r="N9" i="21"/>
  <c r="N9" i="56" s="1"/>
  <c r="I9" i="21"/>
  <c r="I9" i="56" s="1"/>
  <c r="D9" i="21"/>
  <c r="D9" i="56" s="1"/>
  <c r="E9" i="56"/>
  <c r="J9" i="21"/>
  <c r="J9" i="56" s="1"/>
  <c r="F9" i="21"/>
  <c r="F9" i="56" s="1"/>
  <c r="L9" i="21"/>
  <c r="L9" i="56" s="1"/>
  <c r="G9" i="21"/>
  <c r="G9" i="56" s="1"/>
  <c r="G12" i="43"/>
  <c r="D92" i="55"/>
  <c r="L82" i="55"/>
  <c r="H12" i="21"/>
  <c r="F12" i="56"/>
  <c r="N12" i="56"/>
  <c r="J12" i="21"/>
  <c r="J12" i="56" s="1"/>
  <c r="G12" i="56"/>
  <c r="I12" i="56"/>
  <c r="L12" i="21"/>
  <c r="L12" i="56" s="1"/>
  <c r="I41" i="8"/>
  <c r="E66" i="40"/>
  <c r="C9" i="56" l="1"/>
  <c r="H12" i="56"/>
  <c r="K12" i="21"/>
  <c r="M12" i="21" s="1"/>
  <c r="D75" i="39"/>
  <c r="E75" i="39"/>
  <c r="F75" i="39"/>
  <c r="D71" i="39"/>
  <c r="E71" i="39"/>
  <c r="F71" i="39"/>
  <c r="E51" i="39"/>
  <c r="F51" i="39"/>
  <c r="C38" i="39"/>
  <c r="G11" i="39"/>
  <c r="G51" i="39" s="1"/>
  <c r="D19" i="39"/>
  <c r="E19" i="39"/>
  <c r="F19" i="39"/>
  <c r="D23" i="38"/>
  <c r="E23" i="38"/>
  <c r="C23" i="38"/>
  <c r="K12" i="56" l="1"/>
  <c r="B34" i="8"/>
  <c r="M12" i="56" l="1"/>
  <c r="J89" i="44"/>
  <c r="J132" i="44" s="1"/>
  <c r="F24" i="21"/>
  <c r="B33" i="8"/>
  <c r="G95" i="51"/>
  <c r="J102" i="49"/>
  <c r="L102" i="49"/>
  <c r="K102" i="49"/>
  <c r="I214" i="49"/>
  <c r="D8" i="39"/>
  <c r="J144" i="55"/>
  <c r="F24" i="56" l="1"/>
  <c r="I306" i="55"/>
  <c r="L144" i="55"/>
  <c r="K144" i="55"/>
  <c r="F7" i="46"/>
  <c r="C6" i="8"/>
  <c r="E46" i="44"/>
  <c r="D30" i="44"/>
  <c r="M128" i="44"/>
  <c r="D66" i="44"/>
  <c r="C66" i="44"/>
  <c r="C30" i="44"/>
  <c r="E11" i="44"/>
  <c r="E42" i="44"/>
  <c r="E7" i="44"/>
  <c r="E16" i="45"/>
  <c r="K86" i="45"/>
  <c r="H93" i="55"/>
  <c r="H212" i="55"/>
  <c r="N212" i="55" s="1"/>
  <c r="E20" i="40"/>
  <c r="D8" i="40"/>
  <c r="C8" i="40"/>
  <c r="D20" i="40"/>
  <c r="C20" i="40"/>
  <c r="G52" i="39"/>
  <c r="F16" i="39"/>
  <c r="G12" i="39"/>
  <c r="C8" i="39"/>
  <c r="C8" i="38"/>
  <c r="D8" i="38"/>
  <c r="G61" i="41"/>
  <c r="D52" i="41"/>
  <c r="E52" i="41"/>
  <c r="C52" i="41"/>
  <c r="F75" i="41"/>
  <c r="F84" i="41" s="1"/>
  <c r="H31" i="41"/>
  <c r="H75" i="41" s="1"/>
  <c r="F39" i="41"/>
  <c r="C8" i="51" s="1"/>
  <c r="G39" i="41"/>
  <c r="H12" i="41"/>
  <c r="H52" i="41" s="1"/>
  <c r="G20" i="41"/>
  <c r="D16" i="41"/>
  <c r="C16" i="41"/>
  <c r="D8" i="41"/>
  <c r="D20" i="41" s="1"/>
  <c r="C8" i="41"/>
  <c r="C20" i="41" s="1"/>
  <c r="G83" i="41" l="1"/>
  <c r="C90" i="51" l="1"/>
  <c r="C15" i="51"/>
  <c r="G71" i="41"/>
  <c r="G84" i="41" s="1"/>
  <c r="F80" i="38"/>
  <c r="I110" i="49"/>
  <c r="K63" i="49"/>
  <c r="C41" i="8"/>
  <c r="I148" i="55"/>
  <c r="K89" i="55"/>
  <c r="D52" i="43"/>
  <c r="J20" i="45"/>
  <c r="J19" i="55" s="1"/>
  <c r="J93" i="55" s="1"/>
  <c r="I12" i="45"/>
  <c r="C12" i="45"/>
  <c r="F24" i="45"/>
  <c r="D28" i="43" s="1"/>
  <c r="D12" i="40"/>
  <c r="C12" i="40"/>
  <c r="J6" i="60"/>
  <c r="D53" i="43" l="1"/>
  <c r="G90" i="51"/>
  <c r="M204" i="49"/>
  <c r="C218" i="49"/>
  <c r="D218" i="49"/>
  <c r="C214" i="49"/>
  <c r="D214" i="49"/>
  <c r="E214" i="49"/>
  <c r="L208" i="49"/>
  <c r="I154" i="49"/>
  <c r="C146" i="49"/>
  <c r="D146" i="49"/>
  <c r="E126" i="49"/>
  <c r="E122" i="49"/>
  <c r="E106" i="49"/>
  <c r="E102" i="49"/>
  <c r="D79" i="49"/>
  <c r="F79" i="49"/>
  <c r="F75" i="49"/>
  <c r="L63" i="49"/>
  <c r="L59" i="49"/>
  <c r="I204" i="55"/>
  <c r="L89" i="55"/>
  <c r="L83" i="55"/>
  <c r="F124" i="44"/>
  <c r="F200" i="49" s="1"/>
  <c r="K90" i="45"/>
  <c r="L86" i="45"/>
  <c r="L82" i="45"/>
  <c r="D90" i="45"/>
  <c r="K208" i="49" l="1"/>
  <c r="E25" i="3" l="1"/>
  <c r="C143" i="55"/>
  <c r="M279" i="55"/>
  <c r="M284" i="55" s="1"/>
  <c r="C314" i="55"/>
  <c r="D314" i="55"/>
  <c r="C310" i="55"/>
  <c r="D310" i="55"/>
  <c r="C306" i="55"/>
  <c r="D306" i="55"/>
  <c r="E306" i="55"/>
  <c r="C302" i="55"/>
  <c r="D302" i="55"/>
  <c r="F275" i="55"/>
  <c r="C237" i="55"/>
  <c r="D237" i="55"/>
  <c r="C221" i="55"/>
  <c r="D221" i="55"/>
  <c r="H217" i="55"/>
  <c r="C196" i="55"/>
  <c r="D196" i="55"/>
  <c r="C184" i="55"/>
  <c r="D184" i="55"/>
  <c r="E184" i="55"/>
  <c r="E172" i="55"/>
  <c r="E168" i="55"/>
  <c r="C160" i="55"/>
  <c r="D160" i="55"/>
  <c r="E160" i="55"/>
  <c r="G160" i="55"/>
  <c r="H160" i="55"/>
  <c r="E156" i="55"/>
  <c r="E144" i="55"/>
  <c r="D119" i="55"/>
  <c r="F119" i="55"/>
  <c r="E71" i="55"/>
  <c r="C20" i="54"/>
  <c r="C11" i="55"/>
  <c r="E11" i="55"/>
  <c r="F11" i="55"/>
  <c r="I11" i="55"/>
  <c r="I93" i="55" s="1"/>
  <c r="C95" i="51"/>
  <c r="J6" i="61"/>
  <c r="J7" i="61"/>
  <c r="J8" i="61"/>
  <c r="C31" i="40"/>
  <c r="C111" i="55" s="1"/>
  <c r="E16" i="40"/>
  <c r="E164" i="55" s="1"/>
  <c r="E8" i="40"/>
  <c r="E302" i="55" s="1"/>
  <c r="F8" i="40"/>
  <c r="H302" i="55" s="1"/>
  <c r="J7" i="60"/>
  <c r="J9" i="60"/>
  <c r="J10" i="60"/>
  <c r="C35" i="39"/>
  <c r="C49" i="55" s="1"/>
  <c r="C31" i="39"/>
  <c r="C53" i="55" s="1"/>
  <c r="D16" i="39"/>
  <c r="E16" i="39"/>
  <c r="E217" i="55" s="1"/>
  <c r="C16" i="39"/>
  <c r="E8" i="39"/>
  <c r="E20" i="39" s="1"/>
  <c r="F8" i="39"/>
  <c r="J7" i="59"/>
  <c r="J11" i="59"/>
  <c r="J12" i="59"/>
  <c r="J16" i="59"/>
  <c r="J17" i="59"/>
  <c r="J6" i="59"/>
  <c r="D56" i="38"/>
  <c r="C43" i="38"/>
  <c r="C71" i="55" s="1"/>
  <c r="E20" i="38"/>
  <c r="D16" i="38"/>
  <c r="D245" i="55" s="1"/>
  <c r="E16" i="38"/>
  <c r="E245" i="55" s="1"/>
  <c r="F16" i="38"/>
  <c r="H245" i="55" s="1"/>
  <c r="C16" i="38"/>
  <c r="C245" i="55" s="1"/>
  <c r="E12" i="38"/>
  <c r="E241" i="55" s="1"/>
  <c r="D12" i="38"/>
  <c r="D241" i="55" s="1"/>
  <c r="E8" i="38"/>
  <c r="E237" i="55" s="1"/>
  <c r="J6" i="58"/>
  <c r="D27" i="41"/>
  <c r="D39" i="41" s="1"/>
  <c r="C27" i="41"/>
  <c r="C39" i="41" s="1"/>
  <c r="E8" i="41"/>
  <c r="E20" i="41" s="1"/>
  <c r="D48" i="43"/>
  <c r="D44" i="43" s="1"/>
  <c r="D27" i="43"/>
  <c r="D29" i="43"/>
  <c r="D25" i="43"/>
  <c r="D7" i="43"/>
  <c r="C5" i="46" s="1"/>
  <c r="C8" i="46"/>
  <c r="C9" i="46"/>
  <c r="C11" i="49"/>
  <c r="E11" i="49"/>
  <c r="F11" i="49"/>
  <c r="H11" i="49"/>
  <c r="I11" i="49"/>
  <c r="E19" i="3"/>
  <c r="E20" i="3"/>
  <c r="D18" i="43" s="1"/>
  <c r="E22" i="3"/>
  <c r="D17" i="43" s="1"/>
  <c r="E23" i="3"/>
  <c r="E14" i="3"/>
  <c r="K11" i="55"/>
  <c r="K93" i="55" s="1"/>
  <c r="C64" i="45"/>
  <c r="C57" i="55" s="1"/>
  <c r="F60" i="45"/>
  <c r="F45" i="55" s="1"/>
  <c r="F56" i="45"/>
  <c r="F41" i="55" s="1"/>
  <c r="C52" i="45"/>
  <c r="C42" i="45"/>
  <c r="C27" i="49" s="1"/>
  <c r="C38" i="45"/>
  <c r="C23" i="55" s="1"/>
  <c r="C34" i="45"/>
  <c r="J19" i="49"/>
  <c r="F115" i="55"/>
  <c r="L20" i="45"/>
  <c r="E15" i="55"/>
  <c r="C8" i="45"/>
  <c r="C7" i="55" s="1"/>
  <c r="D93" i="55"/>
  <c r="N120" i="44"/>
  <c r="C230" i="49"/>
  <c r="N230" i="49" s="1"/>
  <c r="F116" i="44"/>
  <c r="F196" i="49" s="1"/>
  <c r="F108" i="44"/>
  <c r="E100" i="44"/>
  <c r="E180" i="49" s="1"/>
  <c r="E94" i="44"/>
  <c r="E174" i="49" s="1"/>
  <c r="J90" i="44"/>
  <c r="E82" i="44"/>
  <c r="E162" i="49" s="1"/>
  <c r="I78" i="44"/>
  <c r="I158" i="49" s="1"/>
  <c r="D74" i="44"/>
  <c r="D154" i="49" s="1"/>
  <c r="E74" i="44"/>
  <c r="E154" i="49" s="1"/>
  <c r="C74" i="44"/>
  <c r="C154" i="49" s="1"/>
  <c r="D70" i="44"/>
  <c r="D150" i="49" s="1"/>
  <c r="C70" i="44"/>
  <c r="C150" i="49" s="1"/>
  <c r="H66" i="44"/>
  <c r="H146" i="49" s="1"/>
  <c r="E66" i="44"/>
  <c r="E146" i="49" s="1"/>
  <c r="E62" i="44"/>
  <c r="E142" i="49" s="1"/>
  <c r="E54" i="44"/>
  <c r="E134" i="49" s="1"/>
  <c r="E50" i="44"/>
  <c r="E130" i="49" s="1"/>
  <c r="G42" i="44"/>
  <c r="G122" i="49" s="1"/>
  <c r="D38" i="44"/>
  <c r="D226" i="49" s="1"/>
  <c r="E38" i="44"/>
  <c r="E226" i="49" s="1"/>
  <c r="C38" i="44"/>
  <c r="C226" i="49" s="1"/>
  <c r="E34" i="44"/>
  <c r="E222" i="49" s="1"/>
  <c r="E30" i="44"/>
  <c r="M15" i="44"/>
  <c r="M110" i="49" s="1"/>
  <c r="D11" i="44"/>
  <c r="D106" i="49" s="1"/>
  <c r="C11" i="44"/>
  <c r="C106" i="49" s="1"/>
  <c r="D7" i="44"/>
  <c r="C7" i="44"/>
  <c r="G12" i="45"/>
  <c r="L12" i="45" s="1"/>
  <c r="E18" i="59"/>
  <c r="E221" i="55" l="1"/>
  <c r="C234" i="49"/>
  <c r="C11" i="46"/>
  <c r="D102" i="49"/>
  <c r="D208" i="49" s="1"/>
  <c r="D133" i="44"/>
  <c r="J170" i="49"/>
  <c r="J208" i="49" s="1"/>
  <c r="J133" i="44"/>
  <c r="F188" i="49"/>
  <c r="F208" i="49" s="1"/>
  <c r="F133" i="44"/>
  <c r="E218" i="49"/>
  <c r="E133" i="44"/>
  <c r="C102" i="49"/>
  <c r="C208" i="49" s="1"/>
  <c r="C239" i="49" s="1"/>
  <c r="C133" i="44"/>
  <c r="L8" i="45"/>
  <c r="C37" i="55"/>
  <c r="C90" i="45"/>
  <c r="N100" i="44"/>
  <c r="C35" i="49"/>
  <c r="F93" i="55"/>
  <c r="C7" i="49"/>
  <c r="C23" i="49"/>
  <c r="C125" i="55"/>
  <c r="C85" i="49"/>
  <c r="F43" i="49"/>
  <c r="D156" i="55"/>
  <c r="G168" i="55"/>
  <c r="E180" i="55"/>
  <c r="H196" i="55"/>
  <c r="D200" i="55"/>
  <c r="E204" i="55"/>
  <c r="C204" i="55"/>
  <c r="I208" i="55"/>
  <c r="F263" i="55"/>
  <c r="E318" i="55"/>
  <c r="D322" i="55"/>
  <c r="C144" i="55"/>
  <c r="N180" i="49"/>
  <c r="E208" i="49"/>
  <c r="E249" i="55"/>
  <c r="D144" i="55"/>
  <c r="C156" i="55"/>
  <c r="E176" i="55"/>
  <c r="E192" i="55"/>
  <c r="E196" i="55"/>
  <c r="C200" i="55"/>
  <c r="D204" i="55"/>
  <c r="E225" i="55"/>
  <c r="J233" i="55"/>
  <c r="J284" i="55" s="1"/>
  <c r="E255" i="55"/>
  <c r="N255" i="55" s="1"/>
  <c r="F271" i="55"/>
  <c r="E314" i="55"/>
  <c r="E322" i="55"/>
  <c r="C322" i="55"/>
  <c r="C326" i="55"/>
  <c r="N326" i="55" s="1"/>
  <c r="C100" i="55"/>
  <c r="D217" i="55"/>
  <c r="D20" i="39"/>
  <c r="C217" i="55"/>
  <c r="C20" i="39"/>
  <c r="H221" i="55"/>
  <c r="F20" i="39"/>
  <c r="C92" i="38"/>
  <c r="C64" i="38"/>
  <c r="E64" i="38"/>
  <c r="E68" i="38"/>
  <c r="E56" i="38"/>
  <c r="F64" i="38"/>
  <c r="D64" i="38"/>
  <c r="D16" i="43"/>
  <c r="E24" i="3"/>
  <c r="E34" i="3" s="1"/>
  <c r="E15" i="49"/>
  <c r="C27" i="55"/>
  <c r="L16" i="45"/>
  <c r="D67" i="49"/>
  <c r="K11" i="49"/>
  <c r="K67" i="49" s="1"/>
  <c r="F39" i="49"/>
  <c r="C47" i="49"/>
  <c r="D24" i="43"/>
  <c r="G11" i="55"/>
  <c r="G93" i="55" s="1"/>
  <c r="G11" i="49"/>
  <c r="C284" i="55" l="1"/>
  <c r="C93" i="55"/>
  <c r="C331" i="55"/>
  <c r="D284" i="55"/>
  <c r="E284" i="55"/>
  <c r="F284" i="55"/>
  <c r="I86" i="44"/>
  <c r="H11" i="44"/>
  <c r="H133" i="44" s="1"/>
  <c r="H106" i="49" l="1"/>
  <c r="H208" i="49" s="1"/>
  <c r="H156" i="55"/>
  <c r="I166" i="49"/>
  <c r="I229" i="55"/>
  <c r="P28" i="62"/>
  <c r="P12" i="62" s="1"/>
  <c r="M28" i="62"/>
  <c r="M12" i="62" s="1"/>
  <c r="J28" i="62"/>
  <c r="J12" i="62" s="1"/>
  <c r="G28" i="62"/>
  <c r="G12" i="62" s="1"/>
  <c r="P13" i="62"/>
  <c r="M13" i="62"/>
  <c r="J13" i="62"/>
  <c r="G13" i="62"/>
  <c r="B95" i="51"/>
  <c r="E14" i="55"/>
  <c r="F46" i="31"/>
  <c r="M109" i="49"/>
  <c r="N109" i="49" s="1"/>
  <c r="N14" i="44"/>
  <c r="E14" i="49"/>
  <c r="F34" i="31"/>
  <c r="F14" i="31"/>
  <c r="F13" i="31"/>
  <c r="F12" i="31"/>
  <c r="F11" i="31"/>
  <c r="F30" i="31"/>
  <c r="G11" i="44"/>
  <c r="G133" i="44" s="1"/>
  <c r="D25" i="62" l="1"/>
  <c r="F31" i="31"/>
  <c r="G106" i="49"/>
  <c r="G208" i="49" s="1"/>
  <c r="G156" i="55"/>
  <c r="G284" i="55" s="1"/>
  <c r="I7" i="44" l="1"/>
  <c r="I133" i="44" s="1"/>
  <c r="F15" i="31"/>
  <c r="I13" i="50" l="1"/>
  <c r="F9" i="50" s="1"/>
  <c r="F17" i="50" s="1"/>
  <c r="I89" i="45"/>
  <c r="I102" i="49"/>
  <c r="I208" i="49" s="1"/>
  <c r="I144" i="55"/>
  <c r="I284" i="55" s="1"/>
  <c r="N7" i="44"/>
  <c r="D13" i="62"/>
  <c r="D26" i="62" s="1"/>
  <c r="D28" i="62" s="1"/>
  <c r="J18" i="49"/>
  <c r="J66" i="49" s="1"/>
  <c r="C21" i="56"/>
  <c r="C22" i="56" l="1"/>
  <c r="B11" i="56"/>
  <c r="E183" i="55"/>
  <c r="D183" i="55"/>
  <c r="C183" i="55"/>
  <c r="C325" i="55"/>
  <c r="N325" i="55" s="1"/>
  <c r="E321" i="55"/>
  <c r="D321" i="55"/>
  <c r="C321" i="55"/>
  <c r="E317" i="55"/>
  <c r="E313" i="55"/>
  <c r="D313" i="55"/>
  <c r="C313" i="55"/>
  <c r="D309" i="55"/>
  <c r="C309" i="55"/>
  <c r="H301" i="55"/>
  <c r="H330" i="55" s="1"/>
  <c r="E301" i="55"/>
  <c r="D301" i="55"/>
  <c r="D330" i="55" s="1"/>
  <c r="C301" i="55"/>
  <c r="E290" i="55"/>
  <c r="D290" i="55"/>
  <c r="C290" i="55"/>
  <c r="N147" i="55"/>
  <c r="F274" i="55"/>
  <c r="F270" i="55"/>
  <c r="F262" i="55"/>
  <c r="E254" i="55"/>
  <c r="N254" i="55" s="1"/>
  <c r="E248" i="55"/>
  <c r="H244" i="55"/>
  <c r="E244" i="55"/>
  <c r="D244" i="55"/>
  <c r="C244" i="55"/>
  <c r="E240" i="55"/>
  <c r="D240" i="55"/>
  <c r="E236" i="55"/>
  <c r="D236" i="55"/>
  <c r="C236" i="55"/>
  <c r="J232" i="55"/>
  <c r="J283" i="55" s="1"/>
  <c r="I228" i="55"/>
  <c r="E224" i="55"/>
  <c r="H220" i="55"/>
  <c r="E220" i="55"/>
  <c r="E283" i="55" s="1"/>
  <c r="D220" i="55"/>
  <c r="C220" i="55"/>
  <c r="H216" i="55"/>
  <c r="E216" i="55"/>
  <c r="D216" i="55"/>
  <c r="C216" i="55"/>
  <c r="I207" i="55"/>
  <c r="E203" i="55"/>
  <c r="D203" i="55"/>
  <c r="C203" i="55"/>
  <c r="D199" i="55"/>
  <c r="C199" i="55"/>
  <c r="H195" i="55"/>
  <c r="E195" i="55"/>
  <c r="D195" i="55"/>
  <c r="C195" i="55"/>
  <c r="E191" i="55"/>
  <c r="E179" i="55"/>
  <c r="E175" i="55"/>
  <c r="E171" i="55"/>
  <c r="G167" i="55"/>
  <c r="E167" i="55"/>
  <c r="E163" i="55"/>
  <c r="G159" i="55"/>
  <c r="H159" i="55"/>
  <c r="E159" i="55"/>
  <c r="D159" i="55"/>
  <c r="C159" i="55"/>
  <c r="H155" i="55"/>
  <c r="G155" i="55"/>
  <c r="E155" i="55"/>
  <c r="D155" i="55"/>
  <c r="C155" i="55"/>
  <c r="I143" i="55"/>
  <c r="E143" i="55"/>
  <c r="D143" i="55"/>
  <c r="C110" i="55"/>
  <c r="D99" i="55"/>
  <c r="D103" i="55" s="1"/>
  <c r="C99" i="55"/>
  <c r="F78" i="55"/>
  <c r="L78" i="55" s="1"/>
  <c r="C70" i="55"/>
  <c r="E70" i="55"/>
  <c r="E92" i="55" s="1"/>
  <c r="C56" i="55"/>
  <c r="C52" i="55"/>
  <c r="C48" i="55"/>
  <c r="F44" i="55"/>
  <c r="F40" i="55"/>
  <c r="C36" i="55"/>
  <c r="C26" i="55"/>
  <c r="L26" i="55" s="1"/>
  <c r="C22" i="55"/>
  <c r="C124" i="55"/>
  <c r="F118" i="55"/>
  <c r="D118" i="55"/>
  <c r="D129" i="55" s="1"/>
  <c r="F114" i="55"/>
  <c r="L114" i="55" s="1"/>
  <c r="J18" i="55"/>
  <c r="J92" i="55" s="1"/>
  <c r="K10" i="55"/>
  <c r="I10" i="55"/>
  <c r="I92" i="55" s="1"/>
  <c r="G10" i="55"/>
  <c r="G92" i="55" s="1"/>
  <c r="C10" i="55"/>
  <c r="C6" i="55"/>
  <c r="G283" i="55" l="1"/>
  <c r="F283" i="55"/>
  <c r="E330" i="55"/>
  <c r="F92" i="55"/>
  <c r="C92" i="55"/>
  <c r="C283" i="55"/>
  <c r="D283" i="55"/>
  <c r="I283" i="55"/>
  <c r="C129" i="55"/>
  <c r="F129" i="55"/>
  <c r="C330" i="55"/>
  <c r="L18" i="55"/>
  <c r="L66" i="55"/>
  <c r="F199" i="49" l="1"/>
  <c r="C229" i="49"/>
  <c r="N229" i="49" s="1"/>
  <c r="F195" i="49"/>
  <c r="F187" i="49"/>
  <c r="E179" i="49"/>
  <c r="E173" i="49"/>
  <c r="J169" i="49"/>
  <c r="J207" i="49" s="1"/>
  <c r="I165" i="49"/>
  <c r="E161" i="49"/>
  <c r="I157" i="49"/>
  <c r="E153" i="49"/>
  <c r="D153" i="49"/>
  <c r="C153" i="49"/>
  <c r="D149" i="49"/>
  <c r="C149" i="49"/>
  <c r="H145" i="49"/>
  <c r="E145" i="49"/>
  <c r="D145" i="49"/>
  <c r="C145" i="49"/>
  <c r="E141" i="49"/>
  <c r="E133" i="49"/>
  <c r="E129" i="49"/>
  <c r="E125" i="49"/>
  <c r="G121" i="49"/>
  <c r="E225" i="49"/>
  <c r="D225" i="49"/>
  <c r="C225" i="49"/>
  <c r="F207" i="49" l="1"/>
  <c r="N179" i="49"/>
  <c r="E221" i="49"/>
  <c r="E217" i="49"/>
  <c r="D217" i="49"/>
  <c r="D233" i="49" s="1"/>
  <c r="C217" i="49"/>
  <c r="C233" i="49" s="1"/>
  <c r="H105" i="49"/>
  <c r="H207" i="49" s="1"/>
  <c r="G105" i="49"/>
  <c r="G207" i="49" s="1"/>
  <c r="E105" i="49"/>
  <c r="D105" i="49"/>
  <c r="C105" i="49"/>
  <c r="I101" i="49"/>
  <c r="I207" i="49" s="1"/>
  <c r="E101" i="49"/>
  <c r="D101" i="49"/>
  <c r="C101" i="49"/>
  <c r="F38" i="49"/>
  <c r="C52" i="49"/>
  <c r="D207" i="49" l="1"/>
  <c r="C207" i="49"/>
  <c r="E207" i="49"/>
  <c r="E233" i="49"/>
  <c r="C46" i="49"/>
  <c r="F42" i="49"/>
  <c r="C34" i="49"/>
  <c r="C26" i="49"/>
  <c r="C22" i="49"/>
  <c r="C84" i="49"/>
  <c r="C88" i="49" s="1"/>
  <c r="F78" i="49"/>
  <c r="D78" i="49"/>
  <c r="D88" i="49" s="1"/>
  <c r="F74" i="49"/>
  <c r="L74" i="49" s="1"/>
  <c r="I10" i="49"/>
  <c r="I66" i="49" s="1"/>
  <c r="H10" i="49"/>
  <c r="H66" i="49" s="1"/>
  <c r="G10" i="49"/>
  <c r="G66" i="49" s="1"/>
  <c r="F10" i="49"/>
  <c r="E10" i="49"/>
  <c r="E66" i="49" s="1"/>
  <c r="C10" i="49"/>
  <c r="C6" i="49"/>
  <c r="D34" i="3"/>
  <c r="B23" i="46"/>
  <c r="F88" i="49" l="1"/>
  <c r="C66" i="49"/>
  <c r="C93" i="49" s="1"/>
  <c r="F66" i="49"/>
  <c r="C38" i="43"/>
  <c r="C51" i="43"/>
  <c r="B9" i="46"/>
  <c r="B5" i="46" l="1"/>
  <c r="B90" i="51"/>
  <c r="K88" i="55"/>
  <c r="K92" i="55" s="1"/>
  <c r="K62" i="49"/>
  <c r="K66" i="49" s="1"/>
  <c r="L85" i="45"/>
  <c r="B12" i="46"/>
  <c r="L62" i="49" l="1"/>
  <c r="L88" i="55"/>
  <c r="F8" i="31"/>
  <c r="L23" i="45"/>
  <c r="C18" i="43"/>
  <c r="C15" i="43"/>
  <c r="F7" i="31"/>
  <c r="B20" i="46"/>
  <c r="N99" i="44"/>
  <c r="B18" i="46"/>
  <c r="N119" i="44"/>
  <c r="F47" i="39"/>
  <c r="F55" i="39"/>
  <c r="D18" i="59"/>
  <c r="I10" i="59"/>
  <c r="E55" i="38"/>
  <c r="B7" i="46" l="1"/>
  <c r="B12" i="21" s="1"/>
  <c r="F59" i="39"/>
  <c r="I18" i="59"/>
  <c r="I19" i="59" s="1"/>
  <c r="J10" i="59"/>
  <c r="J18" i="59" s="1"/>
  <c r="D26" i="43"/>
  <c r="G21" i="43"/>
  <c r="C14" i="43"/>
  <c r="H93" i="51"/>
  <c r="H92" i="51"/>
  <c r="H91" i="51"/>
  <c r="H90" i="51"/>
  <c r="D95" i="51"/>
  <c r="D91" i="51"/>
  <c r="D90" i="51"/>
  <c r="H36" i="51"/>
  <c r="D33" i="51"/>
  <c r="H17" i="51"/>
  <c r="D14" i="51"/>
  <c r="F23" i="38" l="1"/>
  <c r="F8" i="38"/>
  <c r="H236" i="55"/>
  <c r="F55" i="38"/>
  <c r="H94" i="51"/>
  <c r="L62" i="55"/>
  <c r="D93" i="51"/>
  <c r="E93" i="55"/>
  <c r="N93" i="55" s="1"/>
  <c r="E90" i="45"/>
  <c r="D23" i="43"/>
  <c r="H46" i="31"/>
  <c r="H45" i="31"/>
  <c r="H44" i="31"/>
  <c r="H43" i="31"/>
  <c r="N327" i="55"/>
  <c r="N149" i="55"/>
  <c r="L127" i="55"/>
  <c r="L68" i="55"/>
  <c r="J105" i="55"/>
  <c r="K105" i="55"/>
  <c r="F105" i="55"/>
  <c r="N231" i="49"/>
  <c r="D6" i="8"/>
  <c r="D33" i="8"/>
  <c r="E35" i="8"/>
  <c r="E7" i="8"/>
  <c r="E8" i="8"/>
  <c r="E9" i="8"/>
  <c r="E10" i="8"/>
  <c r="E13" i="8"/>
  <c r="E14" i="8"/>
  <c r="E15" i="8"/>
  <c r="E16" i="8"/>
  <c r="E17" i="8"/>
  <c r="E18" i="8"/>
  <c r="E19" i="8"/>
  <c r="E20" i="8"/>
  <c r="E24" i="8"/>
  <c r="E34" i="8"/>
  <c r="E36" i="8"/>
  <c r="E42" i="8"/>
  <c r="H18" i="54"/>
  <c r="D9" i="46"/>
  <c r="H21" i="31" s="1"/>
  <c r="D10" i="46"/>
  <c r="F56" i="38" l="1"/>
  <c r="H237" i="55"/>
  <c r="E52" i="43"/>
  <c r="D17" i="54" s="1"/>
  <c r="D18" i="54" s="1"/>
  <c r="E30" i="43"/>
  <c r="E34" i="43"/>
  <c r="E24" i="43"/>
  <c r="H6" i="31"/>
  <c r="D8" i="46"/>
  <c r="S8" i="46" s="1"/>
  <c r="E134" i="44"/>
  <c r="F134" i="44"/>
  <c r="D21" i="46" s="1"/>
  <c r="S21" i="46" s="1"/>
  <c r="H9" i="54" s="1"/>
  <c r="D134" i="44"/>
  <c r="C134" i="44"/>
  <c r="D18" i="46" s="1"/>
  <c r="N121" i="44"/>
  <c r="I91" i="45"/>
  <c r="D86" i="51" s="1"/>
  <c r="H91" i="45"/>
  <c r="G91" i="45"/>
  <c r="D87" i="51" s="1"/>
  <c r="F91" i="45"/>
  <c r="D83" i="51" s="1"/>
  <c r="E91" i="45"/>
  <c r="D84" i="51" s="1"/>
  <c r="D91" i="45"/>
  <c r="D81" i="51" s="1"/>
  <c r="C91" i="45"/>
  <c r="D82" i="51" s="1"/>
  <c r="S9" i="46"/>
  <c r="D12" i="54" s="1"/>
  <c r="D21" i="41"/>
  <c r="H6" i="51" s="1"/>
  <c r="C21" i="41"/>
  <c r="H5" i="51" s="1"/>
  <c r="F40" i="41"/>
  <c r="D8" i="51" s="1"/>
  <c r="H10" i="31"/>
  <c r="H17" i="31"/>
  <c r="H19" i="31"/>
  <c r="H20" i="31"/>
  <c r="H22" i="31"/>
  <c r="H23" i="31"/>
  <c r="H25" i="31"/>
  <c r="H26" i="31"/>
  <c r="H27" i="31"/>
  <c r="H29" i="31"/>
  <c r="H32" i="31"/>
  <c r="H33" i="31"/>
  <c r="H36" i="31"/>
  <c r="H38" i="31"/>
  <c r="H39" i="31"/>
  <c r="H40" i="31"/>
  <c r="H42" i="31"/>
  <c r="H48" i="31"/>
  <c r="H49" i="31"/>
  <c r="H50" i="31"/>
  <c r="H51" i="31"/>
  <c r="H55" i="31"/>
  <c r="H57" i="31"/>
  <c r="H61" i="31"/>
  <c r="F235" i="49"/>
  <c r="G235" i="49"/>
  <c r="I235" i="49"/>
  <c r="J235" i="49"/>
  <c r="K235" i="49"/>
  <c r="K240" i="49" s="1"/>
  <c r="L235" i="49"/>
  <c r="M235" i="49"/>
  <c r="N223" i="49"/>
  <c r="C235" i="49"/>
  <c r="D235" i="49"/>
  <c r="N215" i="49"/>
  <c r="N205" i="49"/>
  <c r="N201" i="49"/>
  <c r="N197" i="49"/>
  <c r="N189" i="49"/>
  <c r="N175" i="49"/>
  <c r="N171" i="49"/>
  <c r="N167" i="49"/>
  <c r="N163" i="49"/>
  <c r="N159" i="49"/>
  <c r="N155" i="49"/>
  <c r="N143" i="49"/>
  <c r="N139" i="49"/>
  <c r="N135" i="49"/>
  <c r="N131" i="49"/>
  <c r="N119" i="49"/>
  <c r="N111" i="49"/>
  <c r="G90" i="49"/>
  <c r="H90" i="49"/>
  <c r="I90" i="49"/>
  <c r="J90" i="49"/>
  <c r="K90" i="49"/>
  <c r="L86" i="49"/>
  <c r="E90" i="49"/>
  <c r="L76" i="49"/>
  <c r="J68" i="49"/>
  <c r="L48" i="49"/>
  <c r="L44" i="49"/>
  <c r="L36" i="49"/>
  <c r="L32" i="49"/>
  <c r="L28" i="49"/>
  <c r="L24" i="49"/>
  <c r="L20" i="49"/>
  <c r="G68" i="49"/>
  <c r="I68" i="49"/>
  <c r="D41" i="8"/>
  <c r="J45" i="9"/>
  <c r="G18" i="46" l="1"/>
  <c r="G10" i="46"/>
  <c r="G19" i="46"/>
  <c r="I95" i="49"/>
  <c r="G95" i="49"/>
  <c r="L240" i="49"/>
  <c r="I240" i="49"/>
  <c r="H235" i="49"/>
  <c r="H240" i="49" s="1"/>
  <c r="D85" i="51"/>
  <c r="E5" i="43"/>
  <c r="H5" i="31" s="1"/>
  <c r="D6" i="46"/>
  <c r="H81" i="51"/>
  <c r="H12" i="31"/>
  <c r="H80" i="51"/>
  <c r="H11" i="31"/>
  <c r="H83" i="51"/>
  <c r="H14" i="31"/>
  <c r="D20" i="46"/>
  <c r="H82" i="51"/>
  <c r="H13" i="31"/>
  <c r="D19" i="46"/>
  <c r="H24" i="31"/>
  <c r="H28" i="31" s="1"/>
  <c r="D11" i="46"/>
  <c r="D13" i="54" s="1"/>
  <c r="D15" i="54" s="1"/>
  <c r="D89" i="51"/>
  <c r="D94" i="51" s="1"/>
  <c r="D96" i="51" s="1"/>
  <c r="D5" i="46"/>
  <c r="J95" i="49"/>
  <c r="F90" i="49"/>
  <c r="N127" i="49"/>
  <c r="J240" i="49"/>
  <c r="N151" i="49"/>
  <c r="D240" i="49"/>
  <c r="N219" i="49"/>
  <c r="N227" i="49"/>
  <c r="G240" i="49"/>
  <c r="E235" i="49"/>
  <c r="F68" i="49"/>
  <c r="L16" i="49"/>
  <c r="K68" i="49"/>
  <c r="K95" i="49" s="1"/>
  <c r="L50" i="49"/>
  <c r="L40" i="49"/>
  <c r="H68" i="49"/>
  <c r="H95" i="49" s="1"/>
  <c r="L8" i="49"/>
  <c r="E68" i="49"/>
  <c r="E95" i="49" s="1"/>
  <c r="L12" i="49"/>
  <c r="D68" i="49"/>
  <c r="L80" i="49"/>
  <c r="L90" i="49" s="1"/>
  <c r="D90" i="49"/>
  <c r="N103" i="49"/>
  <c r="N123" i="49"/>
  <c r="N185" i="49"/>
  <c r="F240" i="49"/>
  <c r="C68" i="49"/>
  <c r="C90" i="49"/>
  <c r="N107" i="49"/>
  <c r="N147" i="49"/>
  <c r="M240" i="49"/>
  <c r="J48" i="9"/>
  <c r="G134" i="44"/>
  <c r="H134" i="44"/>
  <c r="I134" i="44"/>
  <c r="J134" i="44"/>
  <c r="K134" i="44"/>
  <c r="L134" i="44"/>
  <c r="D28" i="46" s="1"/>
  <c r="S28" i="46" s="1"/>
  <c r="M134" i="44"/>
  <c r="N131" i="44"/>
  <c r="N129" i="44"/>
  <c r="N125" i="44"/>
  <c r="N117" i="44"/>
  <c r="N113" i="44"/>
  <c r="N109" i="44"/>
  <c r="N105" i="44"/>
  <c r="N95" i="44"/>
  <c r="N91" i="44"/>
  <c r="N87" i="44"/>
  <c r="N83" i="44"/>
  <c r="N79" i="44"/>
  <c r="N75" i="44"/>
  <c r="N71" i="44"/>
  <c r="N67" i="44"/>
  <c r="N63" i="44"/>
  <c r="N59" i="44"/>
  <c r="N55" i="44"/>
  <c r="N51" i="44"/>
  <c r="N47" i="44"/>
  <c r="N43" i="44"/>
  <c r="N39" i="44"/>
  <c r="N35" i="44"/>
  <c r="N31" i="44"/>
  <c r="N27" i="44"/>
  <c r="N23" i="44"/>
  <c r="N12" i="44"/>
  <c r="N8" i="44"/>
  <c r="J91" i="45"/>
  <c r="K91" i="45"/>
  <c r="L87" i="45"/>
  <c r="L79" i="45"/>
  <c r="L75" i="45"/>
  <c r="L71" i="45"/>
  <c r="L65" i="45"/>
  <c r="L61" i="45"/>
  <c r="L57" i="45"/>
  <c r="L53" i="45"/>
  <c r="L49" i="45"/>
  <c r="L45" i="45"/>
  <c r="L43" i="45"/>
  <c r="L39" i="45"/>
  <c r="L35" i="45"/>
  <c r="L29" i="45"/>
  <c r="L25" i="45"/>
  <c r="L21" i="45"/>
  <c r="L17" i="45"/>
  <c r="I94" i="55"/>
  <c r="L9" i="45"/>
  <c r="E54" i="43"/>
  <c r="E16" i="43"/>
  <c r="E20" i="43"/>
  <c r="E19" i="43"/>
  <c r="E18" i="43"/>
  <c r="E17" i="43"/>
  <c r="E15" i="43"/>
  <c r="F332" i="55"/>
  <c r="G332" i="55"/>
  <c r="I332" i="55"/>
  <c r="J332" i="55"/>
  <c r="K332" i="55"/>
  <c r="L332" i="55"/>
  <c r="M332" i="55"/>
  <c r="N319" i="55"/>
  <c r="N307" i="55"/>
  <c r="C292" i="55"/>
  <c r="D292" i="55"/>
  <c r="D296" i="55" s="1"/>
  <c r="E292" i="55"/>
  <c r="E296" i="55" s="1"/>
  <c r="K285" i="55"/>
  <c r="K338" i="55" s="1"/>
  <c r="L285" i="55"/>
  <c r="N276" i="55"/>
  <c r="N272" i="55"/>
  <c r="N268" i="55"/>
  <c r="N250" i="55"/>
  <c r="N234" i="55"/>
  <c r="N230" i="55"/>
  <c r="N226" i="55"/>
  <c r="N214" i="55"/>
  <c r="N205" i="55"/>
  <c r="N201" i="55"/>
  <c r="N193" i="55"/>
  <c r="N189" i="55"/>
  <c r="N181" i="55"/>
  <c r="N177" i="55"/>
  <c r="N165" i="55"/>
  <c r="J285" i="55"/>
  <c r="G131" i="55"/>
  <c r="H131" i="55"/>
  <c r="I131" i="55"/>
  <c r="J131" i="55"/>
  <c r="K131" i="55"/>
  <c r="L126" i="55"/>
  <c r="D131" i="55"/>
  <c r="F131" i="55"/>
  <c r="L116" i="55"/>
  <c r="H105" i="55"/>
  <c r="D101" i="55"/>
  <c r="D105" i="55" s="1"/>
  <c r="E101" i="55"/>
  <c r="E105" i="55" s="1"/>
  <c r="L80" i="55"/>
  <c r="L76" i="55"/>
  <c r="L64" i="55"/>
  <c r="D20" i="54"/>
  <c r="L58" i="55"/>
  <c r="L46" i="55"/>
  <c r="L38" i="55"/>
  <c r="L34" i="55"/>
  <c r="L28" i="55"/>
  <c r="L24" i="55"/>
  <c r="G94" i="55"/>
  <c r="H94" i="55"/>
  <c r="F34" i="3"/>
  <c r="K9" i="58"/>
  <c r="K12" i="58" s="1"/>
  <c r="K18" i="59"/>
  <c r="K21" i="59" s="1"/>
  <c r="K12" i="60"/>
  <c r="K15" i="60" s="1"/>
  <c r="K10" i="61"/>
  <c r="H137" i="55" l="1"/>
  <c r="C332" i="55"/>
  <c r="E285" i="55"/>
  <c r="C285" i="55"/>
  <c r="N222" i="55"/>
  <c r="N235" i="49"/>
  <c r="I285" i="55"/>
  <c r="I338" i="55" s="1"/>
  <c r="D285" i="55"/>
  <c r="H285" i="55"/>
  <c r="L338" i="55"/>
  <c r="P134" i="44"/>
  <c r="L68" i="49"/>
  <c r="L95" i="49" s="1"/>
  <c r="H21" i="54"/>
  <c r="M285" i="55"/>
  <c r="M338" i="55" s="1"/>
  <c r="N264" i="55"/>
  <c r="F285" i="55"/>
  <c r="F338" i="55" s="1"/>
  <c r="J338" i="55"/>
  <c r="H88" i="51"/>
  <c r="H34" i="31"/>
  <c r="D25" i="46"/>
  <c r="S25" i="46" s="1"/>
  <c r="H14" i="54" s="1"/>
  <c r="H87" i="51"/>
  <c r="H30" i="31"/>
  <c r="D23" i="46"/>
  <c r="G285" i="55"/>
  <c r="D26" i="46"/>
  <c r="S26" i="46" s="1"/>
  <c r="H95" i="51"/>
  <c r="D27" i="46"/>
  <c r="S27" i="46" s="1"/>
  <c r="H84" i="51"/>
  <c r="H85" i="51" s="1"/>
  <c r="H15" i="31"/>
  <c r="H16" i="31" s="1"/>
  <c r="D22" i="46"/>
  <c r="S22" i="46" s="1"/>
  <c r="H10" i="54" s="1"/>
  <c r="H86" i="51"/>
  <c r="H31" i="31"/>
  <c r="D24" i="46"/>
  <c r="S24" i="46" s="1"/>
  <c r="H12" i="54" s="1"/>
  <c r="F95" i="49"/>
  <c r="H41" i="31"/>
  <c r="H47" i="31" s="1"/>
  <c r="E94" i="55"/>
  <c r="N91" i="45"/>
  <c r="S11" i="46"/>
  <c r="D7" i="46"/>
  <c r="H7" i="31"/>
  <c r="F94" i="55"/>
  <c r="F137" i="55" s="1"/>
  <c r="D9" i="54" s="1"/>
  <c r="H8" i="31" s="1"/>
  <c r="L50" i="55"/>
  <c r="C131" i="55"/>
  <c r="C94" i="55"/>
  <c r="L54" i="55"/>
  <c r="N238" i="55"/>
  <c r="D94" i="55"/>
  <c r="D137" i="55" s="1"/>
  <c r="N161" i="55"/>
  <c r="N246" i="55"/>
  <c r="N311" i="55"/>
  <c r="N169" i="55"/>
  <c r="N242" i="55"/>
  <c r="H20" i="54"/>
  <c r="N303" i="55"/>
  <c r="N218" i="55"/>
  <c r="C240" i="49"/>
  <c r="N209" i="49"/>
  <c r="J94" i="55"/>
  <c r="J137" i="55" s="1"/>
  <c r="N185" i="55"/>
  <c r="N280" i="55"/>
  <c r="H17" i="54"/>
  <c r="H19" i="54" s="1"/>
  <c r="L60" i="55"/>
  <c r="C296" i="55"/>
  <c r="D332" i="55"/>
  <c r="F21" i="43"/>
  <c r="N134" i="44"/>
  <c r="N197" i="55"/>
  <c r="E240" i="49"/>
  <c r="N157" i="55"/>
  <c r="N173" i="55"/>
  <c r="N260" i="55"/>
  <c r="H332" i="55"/>
  <c r="N145" i="55"/>
  <c r="E131" i="55"/>
  <c r="L120" i="55"/>
  <c r="D95" i="49"/>
  <c r="C95" i="49"/>
  <c r="E332" i="55"/>
  <c r="N315" i="55"/>
  <c r="N323" i="55"/>
  <c r="L13" i="45"/>
  <c r="L16" i="55"/>
  <c r="L42" i="55"/>
  <c r="L72" i="55"/>
  <c r="K94" i="55"/>
  <c r="L12" i="55"/>
  <c r="L8" i="55"/>
  <c r="I137" i="55"/>
  <c r="L112" i="55"/>
  <c r="D338" i="55" l="1"/>
  <c r="D29" i="46"/>
  <c r="H9" i="31"/>
  <c r="H18" i="31" s="1"/>
  <c r="H35" i="31"/>
  <c r="H37" i="31" s="1"/>
  <c r="H89" i="51"/>
  <c r="H96" i="51" s="1"/>
  <c r="L131" i="55"/>
  <c r="N332" i="55"/>
  <c r="N285" i="55"/>
  <c r="L91" i="45"/>
  <c r="C338" i="55"/>
  <c r="L94" i="55"/>
  <c r="D21" i="54"/>
  <c r="K137" i="55"/>
  <c r="N94" i="55"/>
  <c r="E137" i="55"/>
  <c r="D10" i="54" s="1"/>
  <c r="S7" i="46"/>
  <c r="N240" i="49"/>
  <c r="E338" i="55"/>
  <c r="G137" i="55"/>
  <c r="H53" i="31" l="1"/>
  <c r="H54" i="31"/>
  <c r="K13" i="61"/>
  <c r="G88" i="40"/>
  <c r="G87" i="40"/>
  <c r="G86" i="40"/>
  <c r="C44" i="40"/>
  <c r="G40" i="40"/>
  <c r="G39" i="40"/>
  <c r="G38" i="40"/>
  <c r="G9" i="40"/>
  <c r="G13" i="40"/>
  <c r="G17" i="40"/>
  <c r="G21" i="40"/>
  <c r="D25" i="40"/>
  <c r="E25" i="40"/>
  <c r="F25" i="40"/>
  <c r="G32" i="40"/>
  <c r="E44" i="40"/>
  <c r="F44" i="40"/>
  <c r="E54" i="40"/>
  <c r="G54" i="40" s="1"/>
  <c r="D58" i="40"/>
  <c r="E58" i="40"/>
  <c r="F58" i="40"/>
  <c r="C64" i="40"/>
  <c r="D64" i="40"/>
  <c r="E64" i="40"/>
  <c r="F64" i="40"/>
  <c r="C68" i="40"/>
  <c r="D68" i="40"/>
  <c r="C80" i="40"/>
  <c r="G80" i="40" s="1"/>
  <c r="E92" i="40"/>
  <c r="F92" i="40"/>
  <c r="E97" i="38"/>
  <c r="C48" i="38"/>
  <c r="D48" i="38"/>
  <c r="D25" i="38"/>
  <c r="D81" i="38"/>
  <c r="D97" i="38" s="1"/>
  <c r="C93" i="38"/>
  <c r="C97" i="38" s="1"/>
  <c r="G61" i="38"/>
  <c r="E69" i="38"/>
  <c r="G69" i="38" s="1"/>
  <c r="F65" i="38"/>
  <c r="F73" i="38" s="1"/>
  <c r="E65" i="38"/>
  <c r="D65" i="38"/>
  <c r="C65" i="38"/>
  <c r="E57" i="38"/>
  <c r="D57" i="38"/>
  <c r="C57" i="38"/>
  <c r="G89" i="38"/>
  <c r="G88" i="38"/>
  <c r="G87" i="38"/>
  <c r="G40" i="38"/>
  <c r="G39" i="38"/>
  <c r="G38" i="38"/>
  <c r="G85" i="38"/>
  <c r="G84" i="38"/>
  <c r="G83" i="38"/>
  <c r="G36" i="38"/>
  <c r="G35" i="38"/>
  <c r="G34" i="38"/>
  <c r="F97" i="38"/>
  <c r="G81" i="38"/>
  <c r="E48" i="38"/>
  <c r="F48" i="38"/>
  <c r="G44" i="38"/>
  <c r="G32" i="38"/>
  <c r="C25" i="38"/>
  <c r="E25" i="38"/>
  <c r="F25" i="38"/>
  <c r="G21" i="38"/>
  <c r="G17" i="38"/>
  <c r="G13" i="38"/>
  <c r="G9" i="38"/>
  <c r="E81" i="41"/>
  <c r="D53" i="41"/>
  <c r="H53" i="41" s="1"/>
  <c r="C53" i="41"/>
  <c r="H13" i="41"/>
  <c r="F76" i="41"/>
  <c r="F85" i="41" s="1"/>
  <c r="F83" i="41"/>
  <c r="H32" i="41"/>
  <c r="G68" i="40" l="1"/>
  <c r="D72" i="40"/>
  <c r="G57" i="38"/>
  <c r="H56" i="31"/>
  <c r="D64" i="51"/>
  <c r="D67" i="51" s="1"/>
  <c r="P6" i="46"/>
  <c r="C92" i="40"/>
  <c r="H69" i="51"/>
  <c r="H71" i="51" s="1"/>
  <c r="P23" i="46"/>
  <c r="H63" i="51"/>
  <c r="P19" i="46"/>
  <c r="G64" i="40"/>
  <c r="H64" i="51"/>
  <c r="P20" i="46"/>
  <c r="D35" i="51"/>
  <c r="D36" i="51" s="1"/>
  <c r="J12" i="46"/>
  <c r="D27" i="51"/>
  <c r="J10" i="46"/>
  <c r="G48" i="38"/>
  <c r="D26" i="51"/>
  <c r="J6" i="46"/>
  <c r="J13" i="46" s="1"/>
  <c r="H26" i="51"/>
  <c r="J20" i="46"/>
  <c r="C73" i="38"/>
  <c r="G65" i="38"/>
  <c r="G73" i="38" s="1"/>
  <c r="G25" i="38"/>
  <c r="H31" i="51"/>
  <c r="H33" i="51" s="1"/>
  <c r="J23" i="46"/>
  <c r="H24" i="51"/>
  <c r="J18" i="46"/>
  <c r="H25" i="51"/>
  <c r="J19" i="46"/>
  <c r="H76" i="41"/>
  <c r="E72" i="40"/>
  <c r="F72" i="40"/>
  <c r="G25" i="40"/>
  <c r="C58" i="40"/>
  <c r="C25" i="40"/>
  <c r="G93" i="38"/>
  <c r="G97" i="38" s="1"/>
  <c r="E73" i="38"/>
  <c r="D73" i="38"/>
  <c r="C85" i="41"/>
  <c r="D81" i="41"/>
  <c r="D58" i="41"/>
  <c r="F58" i="41"/>
  <c r="H292" i="55" s="1"/>
  <c r="H296" i="55" s="1"/>
  <c r="H338" i="55" s="1"/>
  <c r="G58" i="41"/>
  <c r="E49" i="41"/>
  <c r="F49" i="41"/>
  <c r="C40" i="41"/>
  <c r="D40" i="41"/>
  <c r="H28" i="41"/>
  <c r="F21" i="41"/>
  <c r="H12" i="51" s="1"/>
  <c r="H14" i="51" s="1"/>
  <c r="G21" i="41"/>
  <c r="C49" i="41"/>
  <c r="D49" i="41"/>
  <c r="D62" i="41" s="1"/>
  <c r="E21" i="41"/>
  <c r="E77" i="39"/>
  <c r="C77" i="39"/>
  <c r="C73" i="39"/>
  <c r="C81" i="39" s="1"/>
  <c r="D69" i="39"/>
  <c r="G69" i="39" s="1"/>
  <c r="C57" i="39"/>
  <c r="D57" i="39"/>
  <c r="E57" i="39"/>
  <c r="F57" i="39"/>
  <c r="C49" i="39"/>
  <c r="D49" i="39"/>
  <c r="D61" i="39" s="1"/>
  <c r="E49" i="39"/>
  <c r="F49" i="39"/>
  <c r="F61" i="39" s="1"/>
  <c r="E32" i="39"/>
  <c r="E73" i="39" s="1"/>
  <c r="G36" i="39"/>
  <c r="G28" i="39"/>
  <c r="G17" i="39"/>
  <c r="G9" i="39"/>
  <c r="D81" i="39"/>
  <c r="F81" i="39"/>
  <c r="C21" i="39"/>
  <c r="D21" i="39"/>
  <c r="E21" i="39"/>
  <c r="F21" i="39"/>
  <c r="C40" i="39"/>
  <c r="D40" i="39"/>
  <c r="E40" i="39"/>
  <c r="F40" i="39"/>
  <c r="F62" i="41" l="1"/>
  <c r="D29" i="51"/>
  <c r="D39" i="51" s="1"/>
  <c r="H62" i="51"/>
  <c r="H67" i="51" s="1"/>
  <c r="H77" i="51" s="1"/>
  <c r="P18" i="46"/>
  <c r="P29" i="46" s="1"/>
  <c r="H50" i="51"/>
  <c r="H52" i="51" s="1"/>
  <c r="M23" i="46"/>
  <c r="H44" i="51"/>
  <c r="M19" i="46"/>
  <c r="D46" i="51"/>
  <c r="M10" i="46"/>
  <c r="D45" i="51"/>
  <c r="M6" i="46"/>
  <c r="H45" i="51"/>
  <c r="M20" i="46"/>
  <c r="H43" i="51"/>
  <c r="M18" i="46"/>
  <c r="M29" i="46" s="1"/>
  <c r="S19" i="46"/>
  <c r="H7" i="54" s="1"/>
  <c r="S23" i="46"/>
  <c r="H13" i="54" s="1"/>
  <c r="H15" i="54" s="1"/>
  <c r="S10" i="46"/>
  <c r="D54" i="51"/>
  <c r="D55" i="51" s="1"/>
  <c r="M12" i="46"/>
  <c r="H29" i="51"/>
  <c r="H39" i="51" s="1"/>
  <c r="J29" i="46"/>
  <c r="S18" i="46"/>
  <c r="H6" i="54" s="1"/>
  <c r="H7" i="51"/>
  <c r="H10" i="51" s="1"/>
  <c r="H20" i="51" s="1"/>
  <c r="G20" i="46"/>
  <c r="D7" i="51"/>
  <c r="G6" i="46"/>
  <c r="S6" i="46" s="1"/>
  <c r="D8" i="54" s="1"/>
  <c r="G62" i="41"/>
  <c r="G292" i="55"/>
  <c r="D6" i="51"/>
  <c r="D10" i="51" s="1"/>
  <c r="G5" i="46"/>
  <c r="D85" i="41"/>
  <c r="C101" i="55"/>
  <c r="G21" i="39"/>
  <c r="G36" i="40"/>
  <c r="G44" i="40" s="1"/>
  <c r="C72" i="40"/>
  <c r="G58" i="40"/>
  <c r="G72" i="40" s="1"/>
  <c r="H81" i="41"/>
  <c r="H49" i="41"/>
  <c r="E58" i="41"/>
  <c r="E62" i="41" s="1"/>
  <c r="C58" i="41"/>
  <c r="C62" i="41" s="1"/>
  <c r="H9" i="41"/>
  <c r="H17" i="41"/>
  <c r="G49" i="39"/>
  <c r="G57" i="39"/>
  <c r="E61" i="39"/>
  <c r="C61" i="39"/>
  <c r="G73" i="39"/>
  <c r="G77" i="39"/>
  <c r="E81" i="39"/>
  <c r="G32" i="39"/>
  <c r="G40" i="39" s="1"/>
  <c r="L115" i="55"/>
  <c r="L79" i="55"/>
  <c r="L67" i="55"/>
  <c r="L63" i="55"/>
  <c r="D19" i="43"/>
  <c r="D15" i="43"/>
  <c r="L75" i="49"/>
  <c r="C33" i="8"/>
  <c r="E33" i="8" s="1"/>
  <c r="H21" i="41" l="1"/>
  <c r="D14" i="43"/>
  <c r="C7" i="46"/>
  <c r="M13" i="46"/>
  <c r="H48" i="51"/>
  <c r="H58" i="51" s="1"/>
  <c r="D48" i="51"/>
  <c r="D58" i="51" s="1"/>
  <c r="C105" i="55"/>
  <c r="L101" i="55"/>
  <c r="L105" i="55" s="1"/>
  <c r="L137" i="55" s="1"/>
  <c r="S5" i="46"/>
  <c r="D7" i="54" s="1"/>
  <c r="D11" i="54" s="1"/>
  <c r="D19" i="54" s="1"/>
  <c r="D22" i="54" s="1"/>
  <c r="S20" i="46"/>
  <c r="H8" i="54" s="1"/>
  <c r="H11" i="54" s="1"/>
  <c r="H22" i="54" s="1"/>
  <c r="G29" i="46"/>
  <c r="S29" i="46" s="1"/>
  <c r="G296" i="55"/>
  <c r="G338" i="55" s="1"/>
  <c r="N292" i="55"/>
  <c r="N296" i="55" s="1"/>
  <c r="N338" i="55" s="1"/>
  <c r="D44" i="40"/>
  <c r="D84" i="40"/>
  <c r="H58" i="41"/>
  <c r="H62" i="41" s="1"/>
  <c r="E72" i="41"/>
  <c r="G61" i="39"/>
  <c r="G90" i="45"/>
  <c r="G92" i="45" s="1"/>
  <c r="L78" i="45"/>
  <c r="I90" i="45"/>
  <c r="I92" i="45" s="1"/>
  <c r="D74" i="51" l="1"/>
  <c r="D77" i="51" s="1"/>
  <c r="P12" i="46"/>
  <c r="P13" i="46" s="1"/>
  <c r="M105" i="55"/>
  <c r="C137" i="55"/>
  <c r="M137" i="55" s="1"/>
  <c r="D5" i="43"/>
  <c r="C6" i="46" s="1"/>
  <c r="C92" i="45"/>
  <c r="L24" i="45"/>
  <c r="E92" i="45"/>
  <c r="E89" i="49"/>
  <c r="E100" i="55"/>
  <c r="E104" i="55" s="1"/>
  <c r="E106" i="55" s="1"/>
  <c r="F90" i="45"/>
  <c r="D92" i="40"/>
  <c r="G84" i="40"/>
  <c r="G92" i="40" s="1"/>
  <c r="H72" i="41"/>
  <c r="H85" i="41" s="1"/>
  <c r="E85" i="41"/>
  <c r="H36" i="41"/>
  <c r="H40" i="41" s="1"/>
  <c r="E40" i="41"/>
  <c r="J10" i="61"/>
  <c r="C56" i="38"/>
  <c r="F92" i="45" l="1"/>
  <c r="G8" i="31"/>
  <c r="D16" i="51"/>
  <c r="D17" i="51" s="1"/>
  <c r="D20" i="51" s="1"/>
  <c r="G12" i="46"/>
  <c r="E130" i="55"/>
  <c r="E132" i="55" s="1"/>
  <c r="E41" i="8"/>
  <c r="G13" i="46" l="1"/>
  <c r="S31" i="46"/>
  <c r="G93" i="51"/>
  <c r="G92" i="51"/>
  <c r="G87" i="51"/>
  <c r="F93" i="51"/>
  <c r="F92" i="51"/>
  <c r="F90" i="51"/>
  <c r="C91" i="51"/>
  <c r="C87" i="51"/>
  <c r="C83" i="51"/>
  <c r="B91" i="51"/>
  <c r="G69" i="51"/>
  <c r="F74" i="51"/>
  <c r="C71" i="51"/>
  <c r="C52" i="51"/>
  <c r="F55" i="51"/>
  <c r="F36" i="51"/>
  <c r="C33" i="51"/>
  <c r="F17" i="51"/>
  <c r="C14" i="51"/>
  <c r="G46" i="31"/>
  <c r="G44" i="31"/>
  <c r="G43" i="31"/>
  <c r="C93" i="51" l="1"/>
  <c r="G18" i="54" l="1"/>
  <c r="O23" i="46"/>
  <c r="N148" i="55" l="1"/>
  <c r="G17" i="54"/>
  <c r="D100" i="55"/>
  <c r="L19" i="55"/>
  <c r="C21" i="54"/>
  <c r="N110" i="49"/>
  <c r="C89" i="49"/>
  <c r="L47" i="49"/>
  <c r="E6" i="8"/>
  <c r="F87" i="51"/>
  <c r="G86" i="51"/>
  <c r="N15" i="44"/>
  <c r="D54" i="43"/>
  <c r="D51" i="43" s="1"/>
  <c r="K92" i="45"/>
  <c r="D56" i="43" l="1"/>
  <c r="C12" i="46"/>
  <c r="F86" i="51"/>
  <c r="G80" i="51"/>
  <c r="C135" i="44"/>
  <c r="G84" i="51"/>
  <c r="I135" i="44"/>
  <c r="E53" i="43"/>
  <c r="G21" i="54"/>
  <c r="F54" i="43"/>
  <c r="C82" i="51"/>
  <c r="L7" i="55"/>
  <c r="H95" i="55"/>
  <c r="L7" i="49"/>
  <c r="G31" i="51"/>
  <c r="I23" i="46"/>
  <c r="F28" i="43"/>
  <c r="F12" i="43"/>
  <c r="F63" i="40"/>
  <c r="E56" i="43" l="1"/>
  <c r="D12" i="46"/>
  <c r="G32" i="10"/>
  <c r="E32" i="10"/>
  <c r="D32" i="10"/>
  <c r="C32" i="10"/>
  <c r="B29" i="10"/>
  <c r="B25" i="10"/>
  <c r="B18" i="10"/>
  <c r="B16" i="10" s="1"/>
  <c r="B11" i="10"/>
  <c r="B10" i="10" s="1"/>
  <c r="K24" i="53"/>
  <c r="J24" i="53"/>
  <c r="J16" i="35"/>
  <c r="J8" i="35"/>
  <c r="L6" i="49"/>
  <c r="L46" i="49"/>
  <c r="S12" i="46" l="1"/>
  <c r="D13" i="46"/>
  <c r="S13" i="46" s="1"/>
  <c r="S15" i="46" s="1"/>
  <c r="F16" i="31"/>
  <c r="F35" i="31"/>
  <c r="J49" i="9"/>
  <c r="B93" i="51" l="1"/>
  <c r="G74" i="51"/>
  <c r="B71" i="51"/>
  <c r="G55" i="51"/>
  <c r="B52" i="51"/>
  <c r="G36" i="51"/>
  <c r="B33" i="51"/>
  <c r="G17" i="51"/>
  <c r="B14" i="51"/>
  <c r="B11" i="21"/>
  <c r="B9" i="21"/>
  <c r="F69" i="51"/>
  <c r="E10" i="61"/>
  <c r="G68" i="51" s="1"/>
  <c r="G71" i="51" s="1"/>
  <c r="D10" i="61"/>
  <c r="F91" i="40"/>
  <c r="E91" i="40"/>
  <c r="F90" i="40"/>
  <c r="E90" i="40"/>
  <c r="C79" i="40"/>
  <c r="C91" i="40" s="1"/>
  <c r="C93" i="40" s="1"/>
  <c r="C78" i="40"/>
  <c r="D67" i="40"/>
  <c r="C67" i="40"/>
  <c r="D66" i="40"/>
  <c r="C66" i="40"/>
  <c r="E63" i="40"/>
  <c r="D63" i="40"/>
  <c r="C63" i="40"/>
  <c r="E62" i="40"/>
  <c r="D62" i="40"/>
  <c r="C62" i="40"/>
  <c r="E57" i="40"/>
  <c r="D57" i="40"/>
  <c r="C57" i="40"/>
  <c r="E56" i="40"/>
  <c r="D56" i="40"/>
  <c r="D70" i="40" s="1"/>
  <c r="C56" i="40"/>
  <c r="C70" i="40" s="1"/>
  <c r="E53" i="40"/>
  <c r="G53" i="40" s="1"/>
  <c r="E52" i="40"/>
  <c r="G52" i="40" s="1"/>
  <c r="G51" i="40"/>
  <c r="F43" i="40"/>
  <c r="E43" i="40"/>
  <c r="C43" i="40"/>
  <c r="C45" i="40" s="1"/>
  <c r="F42" i="40"/>
  <c r="E42" i="40"/>
  <c r="N10" i="46" s="1"/>
  <c r="G31" i="40"/>
  <c r="G30" i="40"/>
  <c r="E24" i="40"/>
  <c r="O20" i="46" s="1"/>
  <c r="D24" i="40"/>
  <c r="C24" i="40"/>
  <c r="O18" i="46" s="1"/>
  <c r="E23" i="40"/>
  <c r="D23" i="40"/>
  <c r="C23" i="40"/>
  <c r="G16" i="40"/>
  <c r="G15" i="40"/>
  <c r="G12" i="40"/>
  <c r="G11" i="40"/>
  <c r="G8" i="40"/>
  <c r="G7" i="40"/>
  <c r="J12" i="60"/>
  <c r="E12" i="60"/>
  <c r="D12" i="60"/>
  <c r="F80" i="39"/>
  <c r="E80" i="39"/>
  <c r="F79" i="39"/>
  <c r="E79" i="39"/>
  <c r="C76" i="39"/>
  <c r="G76" i="39" s="1"/>
  <c r="C75" i="39"/>
  <c r="G75" i="39" s="1"/>
  <c r="G81" i="39"/>
  <c r="C72" i="39"/>
  <c r="C71" i="39"/>
  <c r="G71" i="39" s="1"/>
  <c r="F56" i="39"/>
  <c r="E56" i="39"/>
  <c r="D56" i="39"/>
  <c r="C56" i="39"/>
  <c r="D55" i="39"/>
  <c r="C55" i="39"/>
  <c r="F48" i="39"/>
  <c r="F60" i="39" s="1"/>
  <c r="E48" i="39"/>
  <c r="E60" i="39" s="1"/>
  <c r="D48" i="39"/>
  <c r="D60" i="39" s="1"/>
  <c r="C48" i="39"/>
  <c r="C60" i="39" s="1"/>
  <c r="E47" i="39"/>
  <c r="E59" i="39" s="1"/>
  <c r="D47" i="39"/>
  <c r="C47" i="39"/>
  <c r="F39" i="39"/>
  <c r="E39" i="39"/>
  <c r="C39" i="39"/>
  <c r="C41" i="39" s="1"/>
  <c r="F38" i="39"/>
  <c r="E38" i="39"/>
  <c r="B77" i="21" s="1"/>
  <c r="G35" i="39"/>
  <c r="G34" i="39"/>
  <c r="G31" i="39"/>
  <c r="G30" i="39"/>
  <c r="F22" i="39"/>
  <c r="K23" i="46"/>
  <c r="B82" i="21" s="1"/>
  <c r="G16" i="39"/>
  <c r="G15" i="39"/>
  <c r="G8" i="39"/>
  <c r="G20" i="39" s="1"/>
  <c r="D27" i="39" s="1"/>
  <c r="G7" i="39"/>
  <c r="G19" i="39" s="1"/>
  <c r="F30" i="51"/>
  <c r="F96" i="38"/>
  <c r="E96" i="38"/>
  <c r="C96" i="38"/>
  <c r="C98" i="38" s="1"/>
  <c r="F95" i="38"/>
  <c r="E95" i="38"/>
  <c r="G92" i="38"/>
  <c r="C91" i="38"/>
  <c r="C95" i="38" s="1"/>
  <c r="F72" i="38"/>
  <c r="F74" i="38" s="1"/>
  <c r="C72" i="38"/>
  <c r="C74" i="38" s="1"/>
  <c r="G68" i="38"/>
  <c r="E67" i="38"/>
  <c r="G67" i="38" s="1"/>
  <c r="G66" i="38"/>
  <c r="G64" i="38"/>
  <c r="F63" i="38"/>
  <c r="F71" i="38" s="1"/>
  <c r="E63" i="38"/>
  <c r="D63" i="38"/>
  <c r="C63" i="38"/>
  <c r="E60" i="38"/>
  <c r="E72" i="38" s="1"/>
  <c r="E74" i="38" s="1"/>
  <c r="D60" i="38"/>
  <c r="D72" i="38" s="1"/>
  <c r="D74" i="38" s="1"/>
  <c r="E59" i="38"/>
  <c r="D59" i="38"/>
  <c r="G56" i="38"/>
  <c r="D55" i="38"/>
  <c r="C55" i="38"/>
  <c r="F47" i="38"/>
  <c r="D47" i="38"/>
  <c r="C47" i="38"/>
  <c r="C49" i="38" s="1"/>
  <c r="F46" i="38"/>
  <c r="D46" i="38"/>
  <c r="H10" i="46" s="1"/>
  <c r="C46" i="38"/>
  <c r="G43" i="38"/>
  <c r="G42" i="38"/>
  <c r="F24" i="38"/>
  <c r="F26" i="38" s="1"/>
  <c r="E24" i="38"/>
  <c r="E26" i="38" s="1"/>
  <c r="D24" i="38"/>
  <c r="C24" i="38"/>
  <c r="I18" i="46" s="1"/>
  <c r="G20" i="38"/>
  <c r="G19" i="38"/>
  <c r="G16" i="38"/>
  <c r="G15" i="38"/>
  <c r="G12" i="38"/>
  <c r="G11" i="38"/>
  <c r="G8" i="38"/>
  <c r="G7" i="38"/>
  <c r="G23" i="38" s="1"/>
  <c r="J9" i="58"/>
  <c r="I9" i="58"/>
  <c r="F7" i="41" s="1"/>
  <c r="E9" i="58"/>
  <c r="G11" i="51" s="1"/>
  <c r="D9" i="58"/>
  <c r="D80" i="41"/>
  <c r="C80" i="41"/>
  <c r="D79" i="41"/>
  <c r="D83" i="41" s="1"/>
  <c r="E57" i="41"/>
  <c r="D57" i="41"/>
  <c r="C57" i="41"/>
  <c r="F56" i="41"/>
  <c r="E56" i="41"/>
  <c r="D56" i="41"/>
  <c r="C56" i="41"/>
  <c r="E48" i="41"/>
  <c r="D48" i="41"/>
  <c r="C48" i="41"/>
  <c r="E47" i="41"/>
  <c r="D47" i="41"/>
  <c r="C47" i="41"/>
  <c r="F38" i="41"/>
  <c r="E10" i="46" s="1"/>
  <c r="D38" i="41"/>
  <c r="C38" i="41"/>
  <c r="H27" i="41"/>
  <c r="H26" i="41"/>
  <c r="F24" i="46"/>
  <c r="F19" i="41"/>
  <c r="E23" i="46" s="1"/>
  <c r="E19" i="41"/>
  <c r="D19" i="41"/>
  <c r="C19" i="41"/>
  <c r="H16" i="41"/>
  <c r="H15" i="41"/>
  <c r="B22" i="52"/>
  <c r="G7" i="31"/>
  <c r="G6" i="31"/>
  <c r="M234" i="49"/>
  <c r="L234" i="49"/>
  <c r="K234" i="49"/>
  <c r="J234" i="49"/>
  <c r="I234" i="49"/>
  <c r="I239" i="49" s="1"/>
  <c r="H234" i="49"/>
  <c r="G234" i="49"/>
  <c r="F234" i="49"/>
  <c r="G238" i="49"/>
  <c r="E238" i="49"/>
  <c r="D238" i="49"/>
  <c r="C238" i="49"/>
  <c r="N226" i="49"/>
  <c r="N225" i="49"/>
  <c r="N222" i="49"/>
  <c r="N221" i="49"/>
  <c r="E234" i="49"/>
  <c r="D234" i="49"/>
  <c r="N217" i="49"/>
  <c r="N214" i="49"/>
  <c r="N213" i="49"/>
  <c r="L238" i="49"/>
  <c r="J238" i="49"/>
  <c r="I238" i="49"/>
  <c r="F238" i="49"/>
  <c r="N204" i="49"/>
  <c r="N203" i="49"/>
  <c r="N200" i="49"/>
  <c r="N199" i="49"/>
  <c r="N196" i="49"/>
  <c r="N195" i="49"/>
  <c r="N187" i="49"/>
  <c r="N184" i="49"/>
  <c r="N183" i="49"/>
  <c r="N174" i="49"/>
  <c r="N173" i="49"/>
  <c r="N169" i="49"/>
  <c r="N165" i="49"/>
  <c r="N162" i="49"/>
  <c r="N161" i="49"/>
  <c r="N158" i="49"/>
  <c r="N157" i="49"/>
  <c r="N154" i="49"/>
  <c r="N153" i="49"/>
  <c r="N150" i="49"/>
  <c r="N149" i="49"/>
  <c r="N145" i="49"/>
  <c r="N142" i="49"/>
  <c r="N141" i="49"/>
  <c r="N138" i="49"/>
  <c r="N137" i="49"/>
  <c r="N134" i="49"/>
  <c r="N133" i="49"/>
  <c r="N130" i="49"/>
  <c r="N129" i="49"/>
  <c r="N126" i="49"/>
  <c r="N125" i="49"/>
  <c r="N122" i="49"/>
  <c r="N121" i="49"/>
  <c r="N105" i="49"/>
  <c r="K89" i="49"/>
  <c r="J89" i="49"/>
  <c r="I89" i="49"/>
  <c r="H89" i="49"/>
  <c r="G89" i="49"/>
  <c r="E93" i="49"/>
  <c r="L85" i="49"/>
  <c r="L84" i="49"/>
  <c r="F89" i="49"/>
  <c r="D89" i="49"/>
  <c r="L78" i="49"/>
  <c r="K93" i="49"/>
  <c r="G93" i="49"/>
  <c r="L54" i="49"/>
  <c r="L52" i="49"/>
  <c r="J67" i="49"/>
  <c r="L43" i="49"/>
  <c r="L42" i="49"/>
  <c r="L39" i="49"/>
  <c r="L38" i="49"/>
  <c r="L35" i="49"/>
  <c r="L34" i="49"/>
  <c r="L31" i="49"/>
  <c r="L30" i="49"/>
  <c r="L26" i="49"/>
  <c r="C67" i="49"/>
  <c r="C94" i="49" s="1"/>
  <c r="C96" i="49" s="1"/>
  <c r="L22" i="49"/>
  <c r="L19" i="49"/>
  <c r="L18" i="49"/>
  <c r="F67" i="49"/>
  <c r="E67" i="49"/>
  <c r="L14" i="49"/>
  <c r="L10" i="49"/>
  <c r="L135" i="44"/>
  <c r="K135" i="44"/>
  <c r="C25" i="46"/>
  <c r="G34" i="31" s="1"/>
  <c r="H135" i="44"/>
  <c r="G135" i="44"/>
  <c r="F135" i="44"/>
  <c r="D135" i="44"/>
  <c r="C18" i="46"/>
  <c r="G11" i="31" s="1"/>
  <c r="B24" i="21"/>
  <c r="B22" i="46"/>
  <c r="B22" i="21"/>
  <c r="F80" i="51"/>
  <c r="N130" i="44"/>
  <c r="N128" i="44"/>
  <c r="N127" i="44"/>
  <c r="N124" i="44"/>
  <c r="N123" i="44"/>
  <c r="N116" i="44"/>
  <c r="N115" i="44"/>
  <c r="N112" i="44"/>
  <c r="N111" i="44"/>
  <c r="N108" i="44"/>
  <c r="N107" i="44"/>
  <c r="N104" i="44"/>
  <c r="N103" i="44"/>
  <c r="N94" i="44"/>
  <c r="N93" i="44"/>
  <c r="N90" i="44"/>
  <c r="N89" i="44"/>
  <c r="N86" i="44"/>
  <c r="N85" i="44"/>
  <c r="N82" i="44"/>
  <c r="N81" i="44"/>
  <c r="N78" i="44"/>
  <c r="N77" i="44"/>
  <c r="N74" i="44"/>
  <c r="N73" i="44"/>
  <c r="N70" i="44"/>
  <c r="N69" i="44"/>
  <c r="N66" i="44"/>
  <c r="N65" i="44"/>
  <c r="N62" i="44"/>
  <c r="N61" i="44"/>
  <c r="N58" i="44"/>
  <c r="N57" i="44"/>
  <c r="N54" i="44"/>
  <c r="N53" i="44"/>
  <c r="N50" i="44"/>
  <c r="N49" i="44"/>
  <c r="N46" i="44"/>
  <c r="N45" i="44"/>
  <c r="N42" i="44"/>
  <c r="N41" i="44"/>
  <c r="N38" i="44"/>
  <c r="N37" i="44"/>
  <c r="N34" i="44"/>
  <c r="N33" i="44"/>
  <c r="N30" i="44"/>
  <c r="N29" i="44"/>
  <c r="N26" i="44"/>
  <c r="N25" i="44"/>
  <c r="N11" i="44"/>
  <c r="N10" i="44"/>
  <c r="G41" i="31"/>
  <c r="J90" i="45"/>
  <c r="J92" i="45" s="1"/>
  <c r="C86" i="51"/>
  <c r="C89" i="51" s="1"/>
  <c r="H90" i="45"/>
  <c r="H92" i="45" s="1"/>
  <c r="C84" i="51"/>
  <c r="D92" i="45"/>
  <c r="B83" i="51"/>
  <c r="B84" i="51"/>
  <c r="L74" i="45"/>
  <c r="L73" i="45"/>
  <c r="L70" i="45"/>
  <c r="L69" i="45"/>
  <c r="L64" i="45"/>
  <c r="L63" i="45"/>
  <c r="L60" i="45"/>
  <c r="L59" i="45"/>
  <c r="L56" i="45"/>
  <c r="L55" i="45"/>
  <c r="L52" i="45"/>
  <c r="L51" i="45"/>
  <c r="L48" i="45"/>
  <c r="L47" i="45"/>
  <c r="L44" i="45"/>
  <c r="L42" i="45"/>
  <c r="L41" i="45"/>
  <c r="L38" i="45"/>
  <c r="L37" i="45"/>
  <c r="L34" i="45"/>
  <c r="L33" i="45"/>
  <c r="L28" i="45"/>
  <c r="L27" i="45"/>
  <c r="L19" i="45"/>
  <c r="L15" i="45"/>
  <c r="L11" i="45"/>
  <c r="L7" i="45"/>
  <c r="F40" i="43"/>
  <c r="G19" i="54"/>
  <c r="F19" i="54"/>
  <c r="M331" i="55"/>
  <c r="M337" i="55" s="1"/>
  <c r="M339" i="55" s="1"/>
  <c r="L331" i="55"/>
  <c r="K331" i="55"/>
  <c r="J331" i="55"/>
  <c r="J337" i="55" s="1"/>
  <c r="I331" i="55"/>
  <c r="H331" i="55"/>
  <c r="G331" i="55"/>
  <c r="F331" i="55"/>
  <c r="M336" i="55"/>
  <c r="N322" i="55"/>
  <c r="N321" i="55"/>
  <c r="N318" i="55"/>
  <c r="N317" i="55"/>
  <c r="N313" i="55"/>
  <c r="N309" i="55"/>
  <c r="N306" i="55"/>
  <c r="N305" i="55"/>
  <c r="N301" i="55"/>
  <c r="G294" i="55"/>
  <c r="E294" i="55"/>
  <c r="D294" i="55"/>
  <c r="C294" i="55"/>
  <c r="G291" i="55"/>
  <c r="G295" i="55" s="1"/>
  <c r="E291" i="55"/>
  <c r="E295" i="55" s="1"/>
  <c r="D291" i="55"/>
  <c r="D295" i="55" s="1"/>
  <c r="C291" i="55"/>
  <c r="C295" i="55" s="1"/>
  <c r="L336" i="55"/>
  <c r="J336" i="55"/>
  <c r="F336" i="55"/>
  <c r="L284" i="55"/>
  <c r="K284" i="55"/>
  <c r="N279" i="55"/>
  <c r="N278" i="55"/>
  <c r="N275" i="55"/>
  <c r="N274" i="55"/>
  <c r="N271" i="55"/>
  <c r="N270" i="55"/>
  <c r="N269" i="55"/>
  <c r="N267" i="55"/>
  <c r="N266" i="55"/>
  <c r="N262" i="55"/>
  <c r="N259" i="55"/>
  <c r="N258" i="55"/>
  <c r="N249" i="55"/>
  <c r="N248" i="55"/>
  <c r="N244" i="55"/>
  <c r="N241" i="55"/>
  <c r="N240" i="55"/>
  <c r="N236" i="55"/>
  <c r="N232" i="55"/>
  <c r="N228" i="55"/>
  <c r="N225" i="55"/>
  <c r="N224" i="55"/>
  <c r="N220" i="55"/>
  <c r="N216" i="55"/>
  <c r="N208" i="55"/>
  <c r="N207" i="55"/>
  <c r="N204" i="55"/>
  <c r="N203" i="55"/>
  <c r="N200" i="55"/>
  <c r="N199" i="55"/>
  <c r="N195" i="55"/>
  <c r="N192" i="55"/>
  <c r="N191" i="55"/>
  <c r="N188" i="55"/>
  <c r="N187" i="55"/>
  <c r="N180" i="55"/>
  <c r="N179" i="55"/>
  <c r="N176" i="55"/>
  <c r="N175" i="55"/>
  <c r="N172" i="55"/>
  <c r="N171" i="55"/>
  <c r="N168" i="55"/>
  <c r="N167" i="55"/>
  <c r="N164" i="55"/>
  <c r="N163" i="55"/>
  <c r="N159" i="55"/>
  <c r="N155" i="55"/>
  <c r="N142" i="55"/>
  <c r="K130" i="55"/>
  <c r="J130" i="55"/>
  <c r="I130" i="55"/>
  <c r="H130" i="55"/>
  <c r="G130" i="55"/>
  <c r="E135" i="55"/>
  <c r="B10" i="56" s="1"/>
  <c r="L125" i="55"/>
  <c r="L124" i="55"/>
  <c r="F130" i="55"/>
  <c r="F132" i="55" s="1"/>
  <c r="D130" i="55"/>
  <c r="D132" i="55" s="1"/>
  <c r="C130" i="55"/>
  <c r="C132" i="55" s="1"/>
  <c r="L118" i="55"/>
  <c r="L111" i="55"/>
  <c r="L110" i="55"/>
  <c r="L129" i="55" s="1"/>
  <c r="H104" i="55"/>
  <c r="D104" i="55"/>
  <c r="D106" i="55" s="1"/>
  <c r="D135" i="55"/>
  <c r="C103" i="55"/>
  <c r="C104" i="55"/>
  <c r="C106" i="55" s="1"/>
  <c r="L99" i="55"/>
  <c r="L103" i="55" s="1"/>
  <c r="F135" i="55"/>
  <c r="B9" i="54" s="1"/>
  <c r="L75" i="55"/>
  <c r="L74" i="55"/>
  <c r="L71" i="55"/>
  <c r="L70" i="55"/>
  <c r="L57" i="55"/>
  <c r="L56" i="55"/>
  <c r="L53" i="55"/>
  <c r="L52" i="55"/>
  <c r="L49" i="55"/>
  <c r="L48" i="55"/>
  <c r="L45" i="55"/>
  <c r="L44" i="55"/>
  <c r="L41" i="55"/>
  <c r="L40" i="55"/>
  <c r="L37" i="55"/>
  <c r="L36" i="55"/>
  <c r="L33" i="55"/>
  <c r="L32" i="55"/>
  <c r="L27" i="55"/>
  <c r="L23" i="55"/>
  <c r="L22" i="55"/>
  <c r="F95" i="55"/>
  <c r="L14" i="55"/>
  <c r="G95" i="55"/>
  <c r="C95" i="55"/>
  <c r="L10" i="55"/>
  <c r="L6" i="55"/>
  <c r="D95" i="55"/>
  <c r="C27" i="46"/>
  <c r="R27" i="46" s="1"/>
  <c r="T27" i="46" s="1"/>
  <c r="C23" i="46"/>
  <c r="G30" i="31" s="1"/>
  <c r="C22" i="46"/>
  <c r="R22" i="46" s="1"/>
  <c r="T22" i="46" s="1"/>
  <c r="F20" i="46"/>
  <c r="O19" i="46"/>
  <c r="L19" i="46"/>
  <c r="I19" i="46"/>
  <c r="F19" i="46"/>
  <c r="L18" i="46"/>
  <c r="F18" i="46"/>
  <c r="Q11" i="46"/>
  <c r="R11" i="46"/>
  <c r="T11" i="46" s="1"/>
  <c r="R10" i="46"/>
  <c r="Q9" i="46"/>
  <c r="G21" i="31"/>
  <c r="Q8" i="46"/>
  <c r="R8" i="46"/>
  <c r="T8" i="46" s="1"/>
  <c r="Q7" i="46"/>
  <c r="R7" i="46"/>
  <c r="T7" i="46" s="1"/>
  <c r="H7" i="41" l="1"/>
  <c r="F60" i="41"/>
  <c r="F11" i="51"/>
  <c r="G7" i="41"/>
  <c r="G19" i="41" s="1"/>
  <c r="E24" i="46" s="1"/>
  <c r="F8" i="41"/>
  <c r="H290" i="55"/>
  <c r="D71" i="38"/>
  <c r="C80" i="39"/>
  <c r="C82" i="39" s="1"/>
  <c r="G78" i="40"/>
  <c r="C90" i="40"/>
  <c r="L92" i="55"/>
  <c r="L135" i="55" s="1"/>
  <c r="L88" i="49"/>
  <c r="L66" i="49"/>
  <c r="G59" i="38"/>
  <c r="N233" i="49"/>
  <c r="L89" i="45"/>
  <c r="H52" i="31" s="1"/>
  <c r="C61" i="41"/>
  <c r="E61" i="41"/>
  <c r="K10" i="46"/>
  <c r="Q10" i="46" s="1"/>
  <c r="B46" i="51"/>
  <c r="B12" i="56"/>
  <c r="D61" i="41"/>
  <c r="D63" i="41" s="1"/>
  <c r="N330" i="55"/>
  <c r="J135" i="55"/>
  <c r="B14" i="56" s="1"/>
  <c r="H135" i="55"/>
  <c r="G135" i="55"/>
  <c r="B13" i="54" s="1"/>
  <c r="K135" i="55"/>
  <c r="B15" i="21" s="1"/>
  <c r="J94" i="49"/>
  <c r="J96" i="49" s="1"/>
  <c r="I93" i="49"/>
  <c r="D59" i="39"/>
  <c r="C59" i="39"/>
  <c r="L90" i="45"/>
  <c r="L92" i="45" s="1"/>
  <c r="D84" i="41"/>
  <c r="D86" i="41" s="1"/>
  <c r="H79" i="41"/>
  <c r="C84" i="41"/>
  <c r="C86" i="41" s="1"/>
  <c r="F68" i="51"/>
  <c r="F71" i="51" s="1"/>
  <c r="I11" i="61"/>
  <c r="F19" i="40" s="1"/>
  <c r="G91" i="38"/>
  <c r="L337" i="55"/>
  <c r="L339" i="55" s="1"/>
  <c r="C24" i="46"/>
  <c r="G31" i="31" s="1"/>
  <c r="G35" i="31" s="1"/>
  <c r="C28" i="46"/>
  <c r="R28" i="46" s="1"/>
  <c r="T28" i="46" s="1"/>
  <c r="B64" i="51"/>
  <c r="B67" i="51" s="1"/>
  <c r="N6" i="46"/>
  <c r="G79" i="40"/>
  <c r="F63" i="51"/>
  <c r="N19" i="46"/>
  <c r="E70" i="40"/>
  <c r="G66" i="40"/>
  <c r="G72" i="39"/>
  <c r="F43" i="51"/>
  <c r="K18" i="46"/>
  <c r="G43" i="51"/>
  <c r="C22" i="39"/>
  <c r="G45" i="51"/>
  <c r="E22" i="39"/>
  <c r="B45" i="51"/>
  <c r="B48" i="51" s="1"/>
  <c r="K6" i="46"/>
  <c r="C79" i="39"/>
  <c r="L20" i="46"/>
  <c r="G44" i="51"/>
  <c r="G48" i="51" s="1"/>
  <c r="D22" i="39"/>
  <c r="E62" i="39"/>
  <c r="G55" i="39"/>
  <c r="E30" i="38"/>
  <c r="D79" i="38" s="1"/>
  <c r="B26" i="51"/>
  <c r="B29" i="51" s="1"/>
  <c r="H6" i="46"/>
  <c r="B65" i="21"/>
  <c r="H23" i="46"/>
  <c r="E71" i="38"/>
  <c r="F26" i="51"/>
  <c r="H20" i="46"/>
  <c r="G60" i="38"/>
  <c r="G6" i="51"/>
  <c r="D22" i="41"/>
  <c r="B6" i="51"/>
  <c r="E5" i="46"/>
  <c r="G7" i="51"/>
  <c r="E22" i="41"/>
  <c r="B7" i="51"/>
  <c r="E6" i="46"/>
  <c r="B82" i="51"/>
  <c r="F5" i="31"/>
  <c r="B87" i="51"/>
  <c r="F24" i="31"/>
  <c r="B86" i="51"/>
  <c r="F21" i="31"/>
  <c r="B81" i="51"/>
  <c r="F6" i="31"/>
  <c r="F14" i="54"/>
  <c r="B24" i="56"/>
  <c r="F9" i="54"/>
  <c r="B23" i="56"/>
  <c r="B7" i="54"/>
  <c r="B9" i="56"/>
  <c r="B14" i="21"/>
  <c r="M103" i="55"/>
  <c r="F7" i="51"/>
  <c r="E20" i="46"/>
  <c r="F24" i="51"/>
  <c r="H18" i="46"/>
  <c r="F25" i="51"/>
  <c r="H19" i="46"/>
  <c r="B10" i="21"/>
  <c r="E10" i="21" s="1"/>
  <c r="E10" i="56" s="1"/>
  <c r="H238" i="49"/>
  <c r="F64" i="51"/>
  <c r="N20" i="46"/>
  <c r="F62" i="51"/>
  <c r="N18" i="46"/>
  <c r="G62" i="40"/>
  <c r="B21" i="21"/>
  <c r="B24" i="46"/>
  <c r="F12" i="51"/>
  <c r="F14" i="51" s="1"/>
  <c r="I10" i="58"/>
  <c r="F50" i="51"/>
  <c r="I13" i="60"/>
  <c r="F44" i="51"/>
  <c r="K19" i="46"/>
  <c r="F6" i="51"/>
  <c r="E19" i="46"/>
  <c r="C336" i="55"/>
  <c r="F6" i="54" s="1"/>
  <c r="F5" i="51"/>
  <c r="E18" i="46"/>
  <c r="F45" i="51"/>
  <c r="K20" i="46"/>
  <c r="F81" i="51"/>
  <c r="B19" i="46"/>
  <c r="I135" i="55"/>
  <c r="B12" i="54" s="1"/>
  <c r="M92" i="55"/>
  <c r="G336" i="55"/>
  <c r="I336" i="55"/>
  <c r="F10" i="54" s="1"/>
  <c r="B10" i="54"/>
  <c r="D336" i="55"/>
  <c r="E336" i="55"/>
  <c r="F8" i="54" s="1"/>
  <c r="C135" i="55"/>
  <c r="M66" i="49"/>
  <c r="F83" i="51"/>
  <c r="B21" i="46"/>
  <c r="Q28" i="46"/>
  <c r="F34" i="43"/>
  <c r="E57" i="43"/>
  <c r="F82" i="51"/>
  <c r="F84" i="51"/>
  <c r="Q22" i="46"/>
  <c r="B20" i="21"/>
  <c r="F88" i="51"/>
  <c r="F89" i="51" s="1"/>
  <c r="B25" i="46"/>
  <c r="Q25" i="46" s="1"/>
  <c r="B23" i="21"/>
  <c r="N23" i="21" s="1"/>
  <c r="N23" i="56" s="1"/>
  <c r="C5" i="43"/>
  <c r="C56" i="43" s="1"/>
  <c r="K11" i="58"/>
  <c r="K13" i="58" s="1"/>
  <c r="G12" i="51"/>
  <c r="G14" i="51" s="1"/>
  <c r="K10" i="58"/>
  <c r="J11" i="58"/>
  <c r="E60" i="41"/>
  <c r="C60" i="41"/>
  <c r="K13" i="60"/>
  <c r="F49" i="51"/>
  <c r="K14" i="60"/>
  <c r="K16" i="60" s="1"/>
  <c r="G49" i="51"/>
  <c r="D26" i="39"/>
  <c r="K20" i="59"/>
  <c r="K22" i="59" s="1"/>
  <c r="G30" i="51"/>
  <c r="G33" i="51" s="1"/>
  <c r="I24" i="46"/>
  <c r="K19" i="59"/>
  <c r="F31" i="51"/>
  <c r="F33" i="51" s="1"/>
  <c r="G63" i="38"/>
  <c r="C71" i="38"/>
  <c r="G55" i="38"/>
  <c r="G71" i="38" s="1"/>
  <c r="K337" i="55"/>
  <c r="K339" i="55" s="1"/>
  <c r="G82" i="51"/>
  <c r="E135" i="44"/>
  <c r="G88" i="51"/>
  <c r="G89" i="51" s="1"/>
  <c r="J135" i="44"/>
  <c r="G14" i="54"/>
  <c r="J339" i="55"/>
  <c r="C81" i="51"/>
  <c r="C85" i="51" s="1"/>
  <c r="C94" i="51" s="1"/>
  <c r="E136" i="55"/>
  <c r="E95" i="55"/>
  <c r="G50" i="51"/>
  <c r="G52" i="51" s="1"/>
  <c r="L23" i="46"/>
  <c r="K12" i="61"/>
  <c r="K14" i="61" s="1"/>
  <c r="K11" i="61"/>
  <c r="G62" i="51"/>
  <c r="C26" i="40"/>
  <c r="G64" i="51"/>
  <c r="E26" i="40"/>
  <c r="G63" i="51"/>
  <c r="G67" i="51" s="1"/>
  <c r="G77" i="51" s="1"/>
  <c r="D26" i="40"/>
  <c r="B93" i="21"/>
  <c r="M93" i="21" s="1"/>
  <c r="C64" i="51"/>
  <c r="C67" i="51" s="1"/>
  <c r="O6" i="46"/>
  <c r="G24" i="51"/>
  <c r="C26" i="38"/>
  <c r="G25" i="51"/>
  <c r="D26" i="38"/>
  <c r="C26" i="51"/>
  <c r="C29" i="51" s="1"/>
  <c r="I6" i="46"/>
  <c r="B57" i="21"/>
  <c r="M57" i="21" s="1"/>
  <c r="G5" i="51"/>
  <c r="C22" i="41"/>
  <c r="D41" i="41"/>
  <c r="C7" i="51"/>
  <c r="F6" i="46"/>
  <c r="C83" i="41"/>
  <c r="B39" i="21"/>
  <c r="N39" i="21" s="1"/>
  <c r="C41" i="41"/>
  <c r="C6" i="51"/>
  <c r="F5" i="46"/>
  <c r="D60" i="41"/>
  <c r="B38" i="21"/>
  <c r="H47" i="41"/>
  <c r="C45" i="51"/>
  <c r="C48" i="51" s="1"/>
  <c r="L6" i="46"/>
  <c r="B75" i="21"/>
  <c r="D75" i="21" s="1"/>
  <c r="G47" i="39"/>
  <c r="F75" i="21"/>
  <c r="G67" i="49"/>
  <c r="G94" i="49" s="1"/>
  <c r="G96" i="49" s="1"/>
  <c r="I67" i="49"/>
  <c r="I94" i="49" s="1"/>
  <c r="I96" i="49" s="1"/>
  <c r="E94" i="49"/>
  <c r="E96" i="49" s="1"/>
  <c r="C19" i="46"/>
  <c r="G12" i="31" s="1"/>
  <c r="G81" i="51"/>
  <c r="N229" i="55"/>
  <c r="C21" i="46"/>
  <c r="G14" i="31" s="1"/>
  <c r="G83" i="51"/>
  <c r="C136" i="55"/>
  <c r="D94" i="49"/>
  <c r="D96" i="49" s="1"/>
  <c r="H67" i="49"/>
  <c r="H94" i="49" s="1"/>
  <c r="H96" i="49" s="1"/>
  <c r="I20" i="46"/>
  <c r="G26" i="51"/>
  <c r="G24" i="38"/>
  <c r="J12" i="61"/>
  <c r="J14" i="60"/>
  <c r="J20" i="59"/>
  <c r="N156" i="55"/>
  <c r="D136" i="55"/>
  <c r="K94" i="49"/>
  <c r="K96" i="49" s="1"/>
  <c r="C20" i="46"/>
  <c r="G13" i="31" s="1"/>
  <c r="R25" i="46"/>
  <c r="T25" i="46" s="1"/>
  <c r="N196" i="55"/>
  <c r="D331" i="55"/>
  <c r="N314" i="55"/>
  <c r="N144" i="55"/>
  <c r="L239" i="49"/>
  <c r="L241" i="49" s="1"/>
  <c r="F337" i="55"/>
  <c r="N263" i="55"/>
  <c r="N188" i="49"/>
  <c r="N233" i="55"/>
  <c r="J239" i="49"/>
  <c r="J241" i="49" s="1"/>
  <c r="I241" i="49"/>
  <c r="E331" i="55"/>
  <c r="G337" i="55"/>
  <c r="N106" i="49"/>
  <c r="H239" i="49"/>
  <c r="H241" i="49" s="1"/>
  <c r="G239" i="49"/>
  <c r="G241" i="49" s="1"/>
  <c r="E239" i="49"/>
  <c r="E241" i="49" s="1"/>
  <c r="G15" i="31"/>
  <c r="N90" i="45"/>
  <c r="F35" i="3"/>
  <c r="R9" i="46"/>
  <c r="T9" i="46" s="1"/>
  <c r="L59" i="55"/>
  <c r="L11" i="55"/>
  <c r="L15" i="55"/>
  <c r="H136" i="55"/>
  <c r="H138" i="55" s="1"/>
  <c r="F94" i="49"/>
  <c r="F96" i="49" s="1"/>
  <c r="F136" i="55"/>
  <c r="L119" i="55"/>
  <c r="L130" i="55" s="1"/>
  <c r="L132" i="55" s="1"/>
  <c r="F5" i="43"/>
  <c r="G5" i="31" s="1"/>
  <c r="G136" i="55"/>
  <c r="G138" i="55" s="1"/>
  <c r="C13" i="46"/>
  <c r="F62" i="39"/>
  <c r="N221" i="55"/>
  <c r="D62" i="39"/>
  <c r="G48" i="39"/>
  <c r="C62" i="39"/>
  <c r="N217" i="55"/>
  <c r="G56" i="39"/>
  <c r="E71" i="40"/>
  <c r="E73" i="40" s="1"/>
  <c r="O29" i="46"/>
  <c r="D71" i="40"/>
  <c r="D73" i="40" s="1"/>
  <c r="C71" i="40"/>
  <c r="C73" i="40" s="1"/>
  <c r="N310" i="55"/>
  <c r="G67" i="40"/>
  <c r="G63" i="40"/>
  <c r="N302" i="55"/>
  <c r="L104" i="55"/>
  <c r="L106" i="55" s="1"/>
  <c r="L100" i="55"/>
  <c r="H80" i="41"/>
  <c r="E63" i="41"/>
  <c r="N160" i="55"/>
  <c r="H48" i="41"/>
  <c r="C63" i="41"/>
  <c r="R18" i="46"/>
  <c r="T18" i="46" s="1"/>
  <c r="G72" i="38"/>
  <c r="G74" i="38" s="1"/>
  <c r="N237" i="55"/>
  <c r="N245" i="55"/>
  <c r="G28" i="31"/>
  <c r="L23" i="49"/>
  <c r="H93" i="49"/>
  <c r="J93" i="49"/>
  <c r="F93" i="49"/>
  <c r="D93" i="49"/>
  <c r="N166" i="49"/>
  <c r="L49" i="49"/>
  <c r="N146" i="49"/>
  <c r="D239" i="49"/>
  <c r="D241" i="49" s="1"/>
  <c r="C241" i="49"/>
  <c r="L15" i="49"/>
  <c r="L27" i="49"/>
  <c r="L79" i="49"/>
  <c r="L89" i="49" s="1"/>
  <c r="N170" i="49"/>
  <c r="K239" i="49"/>
  <c r="K241" i="49" s="1"/>
  <c r="N218" i="49"/>
  <c r="N234" i="49" s="1"/>
  <c r="L11" i="49"/>
  <c r="N102" i="49"/>
  <c r="H294" i="55" l="1"/>
  <c r="N290" i="55"/>
  <c r="N294" i="55" s="1"/>
  <c r="G56" i="41"/>
  <c r="H19" i="41"/>
  <c r="E34" i="41" s="1"/>
  <c r="E70" i="41" s="1"/>
  <c r="E83" i="41" s="1"/>
  <c r="F20" i="41"/>
  <c r="F57" i="41"/>
  <c r="H8" i="41"/>
  <c r="H20" i="41" s="1"/>
  <c r="E35" i="41" s="1"/>
  <c r="E39" i="41" s="1"/>
  <c r="F20" i="40"/>
  <c r="H183" i="55"/>
  <c r="F56" i="40"/>
  <c r="F23" i="40"/>
  <c r="N23" i="46" s="1"/>
  <c r="B100" i="21" s="1"/>
  <c r="G19" i="40"/>
  <c r="G23" i="40" s="1"/>
  <c r="D34" i="40" s="1"/>
  <c r="H34" i="41"/>
  <c r="H38" i="41" s="1"/>
  <c r="R24" i="46"/>
  <c r="T24" i="46" s="1"/>
  <c r="B89" i="51"/>
  <c r="E20" i="21"/>
  <c r="G20" i="21"/>
  <c r="I20" i="21"/>
  <c r="K20" i="21"/>
  <c r="M20" i="21"/>
  <c r="D20" i="21"/>
  <c r="F20" i="21"/>
  <c r="H20" i="21"/>
  <c r="J20" i="21"/>
  <c r="L20" i="21"/>
  <c r="N20" i="21"/>
  <c r="Q24" i="46"/>
  <c r="I29" i="46"/>
  <c r="B15" i="54"/>
  <c r="B20" i="54"/>
  <c r="G93" i="21"/>
  <c r="G10" i="51"/>
  <c r="G20" i="51" s="1"/>
  <c r="F48" i="51"/>
  <c r="L93" i="21"/>
  <c r="B17" i="54"/>
  <c r="B18" i="54" s="1"/>
  <c r="N331" i="55"/>
  <c r="L93" i="49"/>
  <c r="L93" i="55"/>
  <c r="F28" i="31"/>
  <c r="F37" i="31" s="1"/>
  <c r="G85" i="51"/>
  <c r="D23" i="21"/>
  <c r="D23" i="56" s="1"/>
  <c r="D39" i="21"/>
  <c r="E39" i="21"/>
  <c r="B10" i="51"/>
  <c r="K93" i="21"/>
  <c r="C93" i="21"/>
  <c r="H93" i="21"/>
  <c r="F67" i="51"/>
  <c r="F77" i="51" s="1"/>
  <c r="G59" i="39"/>
  <c r="L29" i="46"/>
  <c r="I75" i="21"/>
  <c r="N75" i="21"/>
  <c r="G60" i="39"/>
  <c r="G62" i="39" s="1"/>
  <c r="G57" i="21"/>
  <c r="F29" i="51"/>
  <c r="F39" i="51" s="1"/>
  <c r="G30" i="38"/>
  <c r="G46" i="38" s="1"/>
  <c r="G79" i="38"/>
  <c r="G95" i="38" s="1"/>
  <c r="D95" i="38"/>
  <c r="E46" i="38"/>
  <c r="B35" i="51" s="1"/>
  <c r="B36" i="51" s="1"/>
  <c r="B39" i="51" s="1"/>
  <c r="R20" i="46"/>
  <c r="T20" i="46" s="1"/>
  <c r="J75" i="21"/>
  <c r="G26" i="38"/>
  <c r="E31" i="38"/>
  <c r="G29" i="51"/>
  <c r="G39" i="51" s="1"/>
  <c r="L67" i="49"/>
  <c r="L94" i="49" s="1"/>
  <c r="L96" i="49" s="1"/>
  <c r="I337" i="55"/>
  <c r="I339" i="55" s="1"/>
  <c r="B85" i="51"/>
  <c r="B96" i="51" s="1"/>
  <c r="E138" i="55"/>
  <c r="F9" i="31"/>
  <c r="F18" i="31" s="1"/>
  <c r="N29" i="46"/>
  <c r="K29" i="46"/>
  <c r="G27" i="39"/>
  <c r="G39" i="39" s="1"/>
  <c r="G41" i="39" s="1"/>
  <c r="G22" i="39"/>
  <c r="R6" i="46"/>
  <c r="T6" i="46" s="1"/>
  <c r="Q5" i="46"/>
  <c r="H22" i="41"/>
  <c r="F10" i="51"/>
  <c r="F20" i="51" s="1"/>
  <c r="Q21" i="46"/>
  <c r="H29" i="46"/>
  <c r="M10" i="21"/>
  <c r="M10" i="56" s="1"/>
  <c r="K10" i="21"/>
  <c r="K10" i="56" s="1"/>
  <c r="I10" i="21"/>
  <c r="I10" i="56" s="1"/>
  <c r="G10" i="21"/>
  <c r="G10" i="56" s="1"/>
  <c r="C10" i="21"/>
  <c r="N10" i="21"/>
  <c r="N10" i="56" s="1"/>
  <c r="L10" i="21"/>
  <c r="L10" i="56" s="1"/>
  <c r="J10" i="21"/>
  <c r="J10" i="56" s="1"/>
  <c r="H10" i="21"/>
  <c r="H10" i="56" s="1"/>
  <c r="F10" i="21"/>
  <c r="F10" i="56" s="1"/>
  <c r="D10" i="21"/>
  <c r="D10" i="56" s="1"/>
  <c r="R5" i="46"/>
  <c r="T5" i="46" s="1"/>
  <c r="F12" i="54"/>
  <c r="B21" i="56"/>
  <c r="B8" i="54"/>
  <c r="B11" i="54" s="1"/>
  <c r="B8" i="56"/>
  <c r="F52" i="51"/>
  <c r="E29" i="46"/>
  <c r="Q18" i="46"/>
  <c r="D67" i="39"/>
  <c r="D38" i="39"/>
  <c r="G26" i="39"/>
  <c r="G38" i="39" s="1"/>
  <c r="F7" i="54"/>
  <c r="F11" i="54" s="1"/>
  <c r="B20" i="56"/>
  <c r="Q19" i="46"/>
  <c r="L23" i="21"/>
  <c r="L23" i="56" s="1"/>
  <c r="K75" i="21"/>
  <c r="G75" i="21"/>
  <c r="L75" i="21"/>
  <c r="H75" i="21"/>
  <c r="K57" i="21"/>
  <c r="C57" i="21"/>
  <c r="I93" i="21"/>
  <c r="E93" i="21"/>
  <c r="N93" i="21"/>
  <c r="J93" i="21"/>
  <c r="F93" i="21"/>
  <c r="E23" i="21"/>
  <c r="E23" i="56" s="1"/>
  <c r="D93" i="21"/>
  <c r="B6" i="46"/>
  <c r="R21" i="46"/>
  <c r="T21" i="46" s="1"/>
  <c r="H23" i="21"/>
  <c r="H23" i="56" s="1"/>
  <c r="M23" i="21"/>
  <c r="M23" i="56" s="1"/>
  <c r="G23" i="21"/>
  <c r="G23" i="56" s="1"/>
  <c r="F85" i="51"/>
  <c r="C96" i="51"/>
  <c r="C20" i="21"/>
  <c r="J23" i="21"/>
  <c r="J23" i="56" s="1"/>
  <c r="F23" i="21"/>
  <c r="F23" i="56" s="1"/>
  <c r="I23" i="21"/>
  <c r="I23" i="56" s="1"/>
  <c r="K23" i="21"/>
  <c r="K23" i="56" s="1"/>
  <c r="C23" i="21"/>
  <c r="Q20" i="46"/>
  <c r="G58" i="51"/>
  <c r="I57" i="21"/>
  <c r="E57" i="21"/>
  <c r="G20" i="54"/>
  <c r="C10" i="54"/>
  <c r="G12" i="54"/>
  <c r="G339" i="55"/>
  <c r="G16" i="31"/>
  <c r="G9" i="54"/>
  <c r="F339" i="55"/>
  <c r="J136" i="55"/>
  <c r="J95" i="55"/>
  <c r="K136" i="55"/>
  <c r="C17" i="54" s="1"/>
  <c r="C18" i="54" s="1"/>
  <c r="K95" i="55"/>
  <c r="C9" i="54"/>
  <c r="G9" i="31" s="1"/>
  <c r="G53" i="31" s="1"/>
  <c r="F138" i="55"/>
  <c r="C7" i="54"/>
  <c r="D138" i="55"/>
  <c r="I136" i="55"/>
  <c r="N136" i="55" s="1"/>
  <c r="I95" i="55"/>
  <c r="C8" i="54"/>
  <c r="C138" i="55"/>
  <c r="L57" i="21"/>
  <c r="H57" i="21"/>
  <c r="N57" i="21"/>
  <c r="J57" i="21"/>
  <c r="F57" i="21"/>
  <c r="D57" i="21"/>
  <c r="L39" i="21"/>
  <c r="C39" i="21"/>
  <c r="H39" i="21"/>
  <c r="K39" i="21"/>
  <c r="M39" i="21"/>
  <c r="J39" i="21"/>
  <c r="F39" i="21"/>
  <c r="G39" i="21"/>
  <c r="I39" i="21"/>
  <c r="C10" i="51"/>
  <c r="M75" i="21"/>
  <c r="C75" i="21"/>
  <c r="E75" i="21"/>
  <c r="C337" i="55"/>
  <c r="R19" i="46"/>
  <c r="T19" i="46" s="1"/>
  <c r="F239" i="49"/>
  <c r="C13" i="54"/>
  <c r="M67" i="49"/>
  <c r="N94" i="49"/>
  <c r="E337" i="55"/>
  <c r="D337" i="55"/>
  <c r="G37" i="31"/>
  <c r="H35" i="41" l="1"/>
  <c r="H39" i="41" s="1"/>
  <c r="C10" i="56"/>
  <c r="F58" i="51"/>
  <c r="F22" i="41"/>
  <c r="F23" i="46"/>
  <c r="F12" i="46"/>
  <c r="E38" i="41"/>
  <c r="B40" i="21" s="1"/>
  <c r="B42" i="21" s="1"/>
  <c r="H70" i="41"/>
  <c r="H83" i="41" s="1"/>
  <c r="F61" i="41"/>
  <c r="F63" i="41" s="1"/>
  <c r="H291" i="55"/>
  <c r="H57" i="41"/>
  <c r="H61" i="41" s="1"/>
  <c r="H63" i="41" s="1"/>
  <c r="G60" i="41"/>
  <c r="H56" i="41"/>
  <c r="H60" i="41" s="1"/>
  <c r="H283" i="55"/>
  <c r="H336" i="55" s="1"/>
  <c r="N183" i="55"/>
  <c r="Q23" i="46"/>
  <c r="D42" i="40"/>
  <c r="D82" i="40"/>
  <c r="G34" i="40"/>
  <c r="G42" i="40" s="1"/>
  <c r="F70" i="40"/>
  <c r="G56" i="40"/>
  <c r="G70" i="40" s="1"/>
  <c r="H184" i="55"/>
  <c r="F57" i="40"/>
  <c r="F24" i="40"/>
  <c r="F26" i="40" s="1"/>
  <c r="G20" i="40"/>
  <c r="G24" i="40" s="1"/>
  <c r="B19" i="54"/>
  <c r="B22" i="54" s="1"/>
  <c r="C40" i="21"/>
  <c r="H40" i="21"/>
  <c r="J40" i="21"/>
  <c r="J42" i="21" s="1"/>
  <c r="L40" i="21"/>
  <c r="N40" i="21"/>
  <c r="E40" i="21"/>
  <c r="G40" i="21"/>
  <c r="G42" i="21" s="1"/>
  <c r="I40" i="21"/>
  <c r="I42" i="21" s="1"/>
  <c r="K40" i="21"/>
  <c r="M40" i="21"/>
  <c r="M42" i="21" s="1"/>
  <c r="H12" i="46"/>
  <c r="H13" i="46" s="1"/>
  <c r="G10" i="54"/>
  <c r="F53" i="31"/>
  <c r="D40" i="21"/>
  <c r="B16" i="51"/>
  <c r="B17" i="51" s="1"/>
  <c r="B20" i="51" s="1"/>
  <c r="E12" i="46"/>
  <c r="E13" i="46" s="1"/>
  <c r="N42" i="21"/>
  <c r="C23" i="56"/>
  <c r="B94" i="51"/>
  <c r="C42" i="21"/>
  <c r="B58" i="21"/>
  <c r="G15" i="54"/>
  <c r="I12" i="46"/>
  <c r="I13" i="46" s="1"/>
  <c r="D80" i="38"/>
  <c r="G31" i="38"/>
  <c r="G47" i="38" s="1"/>
  <c r="G49" i="38" s="1"/>
  <c r="E47" i="38"/>
  <c r="E49" i="38" s="1"/>
  <c r="H41" i="41"/>
  <c r="D39" i="39"/>
  <c r="D41" i="39" s="1"/>
  <c r="D68" i="39"/>
  <c r="G68" i="39" s="1"/>
  <c r="G80" i="39" s="1"/>
  <c r="G82" i="39" s="1"/>
  <c r="K138" i="55"/>
  <c r="J138" i="55"/>
  <c r="L12" i="46"/>
  <c r="E71" i="41"/>
  <c r="D79" i="39"/>
  <c r="G67" i="39"/>
  <c r="G79" i="39" s="1"/>
  <c r="B54" i="51"/>
  <c r="B55" i="51" s="1"/>
  <c r="B58" i="51" s="1"/>
  <c r="K12" i="46"/>
  <c r="B76" i="21"/>
  <c r="B47" i="21"/>
  <c r="N47" i="21" s="1"/>
  <c r="B8" i="21"/>
  <c r="J8" i="21" s="1"/>
  <c r="J8" i="56" s="1"/>
  <c r="B13" i="46"/>
  <c r="Q6" i="46"/>
  <c r="C11" i="54"/>
  <c r="F241" i="49"/>
  <c r="G7" i="54"/>
  <c r="D339" i="55"/>
  <c r="G8" i="54"/>
  <c r="E339" i="55"/>
  <c r="G6" i="54"/>
  <c r="C339" i="55"/>
  <c r="C12" i="54"/>
  <c r="C15" i="54" s="1"/>
  <c r="I138" i="55"/>
  <c r="L136" i="55"/>
  <c r="L138" i="55" s="1"/>
  <c r="L95" i="55"/>
  <c r="K42" i="21"/>
  <c r="H42" i="21"/>
  <c r="G18" i="31"/>
  <c r="N337" i="55"/>
  <c r="N339" i="55" s="1"/>
  <c r="F13" i="46"/>
  <c r="L42" i="21" l="1"/>
  <c r="D42" i="21"/>
  <c r="E42" i="21"/>
  <c r="F29" i="46"/>
  <c r="R23" i="46"/>
  <c r="T23" i="46" s="1"/>
  <c r="F40" i="21"/>
  <c r="H295" i="55"/>
  <c r="N291" i="55"/>
  <c r="N295" i="55" s="1"/>
  <c r="D35" i="40"/>
  <c r="G26" i="40"/>
  <c r="F71" i="40"/>
  <c r="F73" i="40" s="1"/>
  <c r="G57" i="40"/>
  <c r="G71" i="40" s="1"/>
  <c r="G73" i="40" s="1"/>
  <c r="N12" i="46"/>
  <c r="N13" i="46" s="1"/>
  <c r="B73" i="51"/>
  <c r="B74" i="51" s="1"/>
  <c r="B77" i="51" s="1"/>
  <c r="B94" i="21"/>
  <c r="H284" i="55"/>
  <c r="N184" i="55"/>
  <c r="N284" i="55" s="1"/>
  <c r="M21" i="44"/>
  <c r="D90" i="40"/>
  <c r="G82" i="40"/>
  <c r="G90" i="40" s="1"/>
  <c r="B22" i="56"/>
  <c r="F13" i="54"/>
  <c r="F15" i="54" s="1"/>
  <c r="B60" i="21"/>
  <c r="B64" i="21" s="1"/>
  <c r="D64" i="21" s="1"/>
  <c r="D66" i="21" s="1"/>
  <c r="K58" i="21"/>
  <c r="K60" i="21" s="1"/>
  <c r="C58" i="21"/>
  <c r="C60" i="21" s="1"/>
  <c r="F58" i="21"/>
  <c r="F60" i="21" s="1"/>
  <c r="H58" i="21"/>
  <c r="H60" i="21" s="1"/>
  <c r="N58" i="21"/>
  <c r="N60" i="21" s="1"/>
  <c r="I58" i="21"/>
  <c r="I60" i="21" s="1"/>
  <c r="G58" i="21"/>
  <c r="G60" i="21" s="1"/>
  <c r="D58" i="21"/>
  <c r="D60" i="21" s="1"/>
  <c r="D68" i="21" s="1"/>
  <c r="C54" i="51"/>
  <c r="C55" i="51" s="1"/>
  <c r="C58" i="51" s="1"/>
  <c r="H71" i="41"/>
  <c r="H84" i="41" s="1"/>
  <c r="H86" i="41" s="1"/>
  <c r="E84" i="41"/>
  <c r="E86" i="41" s="1"/>
  <c r="J58" i="21"/>
  <c r="J60" i="21" s="1"/>
  <c r="E58" i="21"/>
  <c r="E60" i="21" s="1"/>
  <c r="M58" i="21"/>
  <c r="M60" i="21" s="1"/>
  <c r="L58" i="21"/>
  <c r="L60" i="21" s="1"/>
  <c r="D80" i="39"/>
  <c r="D82" i="39" s="1"/>
  <c r="C35" i="51"/>
  <c r="C36" i="51" s="1"/>
  <c r="C39" i="51" s="1"/>
  <c r="D96" i="38"/>
  <c r="D98" i="38" s="1"/>
  <c r="G80" i="38"/>
  <c r="G96" i="38" s="1"/>
  <c r="G98" i="38" s="1"/>
  <c r="L13" i="46"/>
  <c r="G11" i="54"/>
  <c r="G22" i="54" s="1"/>
  <c r="D47" i="21"/>
  <c r="F47" i="21"/>
  <c r="F48" i="21" s="1"/>
  <c r="H47" i="21"/>
  <c r="H48" i="21" s="1"/>
  <c r="H50" i="21" s="1"/>
  <c r="J47" i="21"/>
  <c r="L47" i="21"/>
  <c r="C47" i="21"/>
  <c r="C48" i="21" s="1"/>
  <c r="C50" i="21" s="1"/>
  <c r="E47" i="21"/>
  <c r="G47" i="21"/>
  <c r="G48" i="21" s="1"/>
  <c r="I47" i="21"/>
  <c r="K47" i="21"/>
  <c r="M47" i="21"/>
  <c r="E41" i="41"/>
  <c r="C16" i="51"/>
  <c r="N76" i="21"/>
  <c r="J76" i="21"/>
  <c r="F76" i="21"/>
  <c r="L76" i="21"/>
  <c r="G76" i="21"/>
  <c r="D76" i="21"/>
  <c r="E76" i="21"/>
  <c r="H76" i="21"/>
  <c r="M76" i="21"/>
  <c r="B78" i="21"/>
  <c r="B83" i="21" s="1"/>
  <c r="C76" i="21"/>
  <c r="I76" i="21"/>
  <c r="K76" i="21"/>
  <c r="F91" i="51"/>
  <c r="F94" i="51" s="1"/>
  <c r="K13" i="46"/>
  <c r="Q12" i="46"/>
  <c r="Q13" i="46" s="1"/>
  <c r="Q15" i="46" s="1"/>
  <c r="B48" i="21"/>
  <c r="B50" i="21" s="1"/>
  <c r="I48" i="21"/>
  <c r="I50" i="21" s="1"/>
  <c r="N8" i="21"/>
  <c r="N8" i="56" s="1"/>
  <c r="C8" i="21"/>
  <c r="G8" i="21"/>
  <c r="G8" i="56" s="1"/>
  <c r="K8" i="21"/>
  <c r="K8" i="56" s="1"/>
  <c r="B16" i="21"/>
  <c r="D8" i="21"/>
  <c r="D8" i="56" s="1"/>
  <c r="H8" i="21"/>
  <c r="H8" i="56" s="1"/>
  <c r="L8" i="21"/>
  <c r="L8" i="56" s="1"/>
  <c r="E8" i="21"/>
  <c r="E8" i="56" s="1"/>
  <c r="I8" i="21"/>
  <c r="I8" i="56" s="1"/>
  <c r="M8" i="21"/>
  <c r="M8" i="56" s="1"/>
  <c r="F8" i="21"/>
  <c r="F8" i="56" s="1"/>
  <c r="C19" i="54"/>
  <c r="C22" i="54" s="1"/>
  <c r="G50" i="21" l="1"/>
  <c r="F42" i="21"/>
  <c r="F50" i="21" s="1"/>
  <c r="H337" i="55"/>
  <c r="H339" i="55" s="1"/>
  <c r="M132" i="44"/>
  <c r="K6" i="44" s="1"/>
  <c r="B27" i="46" s="1"/>
  <c r="B15" i="56"/>
  <c r="B16" i="56" s="1"/>
  <c r="M117" i="49"/>
  <c r="B26" i="56"/>
  <c r="M22" i="44"/>
  <c r="F45" i="31"/>
  <c r="F47" i="31" s="1"/>
  <c r="N21" i="44"/>
  <c r="G13" i="54"/>
  <c r="N94" i="21"/>
  <c r="N96" i="21" s="1"/>
  <c r="J94" i="21"/>
  <c r="J96" i="21" s="1"/>
  <c r="F94" i="21"/>
  <c r="F96" i="21" s="1"/>
  <c r="M94" i="21"/>
  <c r="M96" i="21" s="1"/>
  <c r="I94" i="21"/>
  <c r="I96" i="21" s="1"/>
  <c r="E94" i="21"/>
  <c r="E96" i="21" s="1"/>
  <c r="B96" i="21"/>
  <c r="B101" i="21" s="1"/>
  <c r="L94" i="21"/>
  <c r="L96" i="21" s="1"/>
  <c r="H94" i="21"/>
  <c r="H96" i="21" s="1"/>
  <c r="D94" i="21"/>
  <c r="K94" i="21"/>
  <c r="K96" i="21" s="1"/>
  <c r="G94" i="21"/>
  <c r="G96" i="21" s="1"/>
  <c r="C94" i="21"/>
  <c r="C96" i="21" s="1"/>
  <c r="D43" i="40"/>
  <c r="D83" i="40"/>
  <c r="G35" i="40"/>
  <c r="G43" i="40" s="1"/>
  <c r="G45" i="40" s="1"/>
  <c r="O12" i="46"/>
  <c r="M64" i="21"/>
  <c r="M66" i="21" s="1"/>
  <c r="M68" i="21" s="1"/>
  <c r="K64" i="21"/>
  <c r="K66" i="21" s="1"/>
  <c r="K68" i="21" s="1"/>
  <c r="L64" i="21"/>
  <c r="L66" i="21" s="1"/>
  <c r="L68" i="21" s="1"/>
  <c r="N64" i="21"/>
  <c r="N66" i="21" s="1"/>
  <c r="N68" i="21" s="1"/>
  <c r="J64" i="21"/>
  <c r="J66" i="21" s="1"/>
  <c r="J68" i="21" s="1"/>
  <c r="E64" i="21"/>
  <c r="E66" i="21" s="1"/>
  <c r="C64" i="21"/>
  <c r="C66" i="21" s="1"/>
  <c r="C68" i="21" s="1"/>
  <c r="F64" i="21"/>
  <c r="F66" i="21" s="1"/>
  <c r="F68" i="21" s="1"/>
  <c r="B66" i="21"/>
  <c r="B68" i="21" s="1"/>
  <c r="G64" i="21"/>
  <c r="G66" i="21" s="1"/>
  <c r="G68" i="21" s="1"/>
  <c r="I64" i="21"/>
  <c r="I66" i="21" s="1"/>
  <c r="H64" i="21"/>
  <c r="H66" i="21" s="1"/>
  <c r="H68" i="21" s="1"/>
  <c r="I15" i="56"/>
  <c r="I16" i="56" s="1"/>
  <c r="K15" i="56"/>
  <c r="K16" i="56" s="1"/>
  <c r="M15" i="56"/>
  <c r="M16" i="56" s="1"/>
  <c r="G26" i="21"/>
  <c r="G26" i="56" s="1"/>
  <c r="F15" i="56"/>
  <c r="F16" i="56" s="1"/>
  <c r="N26" i="21"/>
  <c r="H26" i="21"/>
  <c r="H26" i="56" s="1"/>
  <c r="D15" i="56"/>
  <c r="D16" i="56" s="1"/>
  <c r="J26" i="21"/>
  <c r="J26" i="56" s="1"/>
  <c r="E68" i="21"/>
  <c r="C8" i="56"/>
  <c r="M78" i="21"/>
  <c r="G78" i="21"/>
  <c r="N78" i="21"/>
  <c r="K78" i="21"/>
  <c r="I78" i="21"/>
  <c r="H78" i="21"/>
  <c r="L78" i="21"/>
  <c r="J78" i="21"/>
  <c r="D78" i="21"/>
  <c r="E78" i="21"/>
  <c r="C17" i="51"/>
  <c r="C20" i="51" s="1"/>
  <c r="C51" i="21"/>
  <c r="J16" i="21"/>
  <c r="F16" i="21"/>
  <c r="I16" i="21"/>
  <c r="L16" i="21"/>
  <c r="D16" i="21"/>
  <c r="K16" i="21"/>
  <c r="C16" i="21"/>
  <c r="M16" i="21"/>
  <c r="E16" i="21"/>
  <c r="H16" i="21"/>
  <c r="G16" i="21"/>
  <c r="N16" i="21"/>
  <c r="K48" i="21"/>
  <c r="K50" i="21" s="1"/>
  <c r="E48" i="21"/>
  <c r="E50" i="21" s="1"/>
  <c r="D48" i="21"/>
  <c r="J48" i="21"/>
  <c r="J50" i="21" s="1"/>
  <c r="N48" i="21"/>
  <c r="N50" i="21" s="1"/>
  <c r="M48" i="21"/>
  <c r="M50" i="21" s="1"/>
  <c r="L48" i="21"/>
  <c r="L50" i="21" s="1"/>
  <c r="C78" i="21"/>
  <c r="F78" i="21"/>
  <c r="B84" i="21"/>
  <c r="B86" i="21" s="1"/>
  <c r="N83" i="21"/>
  <c r="J83" i="21"/>
  <c r="F83" i="21"/>
  <c r="K83" i="21"/>
  <c r="G83" i="21"/>
  <c r="C83" i="21"/>
  <c r="L83" i="21"/>
  <c r="H83" i="21"/>
  <c r="D83" i="21"/>
  <c r="M83" i="21"/>
  <c r="I83" i="21"/>
  <c r="E83" i="21"/>
  <c r="H27" i="21" l="1"/>
  <c r="K132" i="44"/>
  <c r="L26" i="21"/>
  <c r="L26" i="56" s="1"/>
  <c r="B102" i="21"/>
  <c r="B104" i="21" s="1"/>
  <c r="D101" i="21"/>
  <c r="D102" i="21" s="1"/>
  <c r="F101" i="21"/>
  <c r="F102" i="21" s="1"/>
  <c r="F104" i="21" s="1"/>
  <c r="H101" i="21"/>
  <c r="H102" i="21" s="1"/>
  <c r="H104" i="21" s="1"/>
  <c r="J101" i="21"/>
  <c r="J102" i="21" s="1"/>
  <c r="J104" i="21" s="1"/>
  <c r="L101" i="21"/>
  <c r="L102" i="21" s="1"/>
  <c r="N101" i="21"/>
  <c r="N102" i="21" s="1"/>
  <c r="N104" i="21" s="1"/>
  <c r="E101" i="21"/>
  <c r="E102" i="21" s="1"/>
  <c r="G101" i="21"/>
  <c r="G102" i="21" s="1"/>
  <c r="I101" i="21"/>
  <c r="I102" i="21" s="1"/>
  <c r="K101" i="21"/>
  <c r="K102" i="21" s="1"/>
  <c r="K104" i="21" s="1"/>
  <c r="M101" i="21"/>
  <c r="M102" i="21" s="1"/>
  <c r="M104" i="21" s="1"/>
  <c r="C101" i="21"/>
  <c r="C102" i="21" s="1"/>
  <c r="C104" i="21" s="1"/>
  <c r="I104" i="21"/>
  <c r="K26" i="21"/>
  <c r="I68" i="21"/>
  <c r="D96" i="21"/>
  <c r="D26" i="21"/>
  <c r="D26" i="56" s="1"/>
  <c r="E26" i="21"/>
  <c r="L104" i="21"/>
  <c r="G104" i="21"/>
  <c r="G27" i="21"/>
  <c r="G29" i="21" s="1"/>
  <c r="E104" i="21"/>
  <c r="J15" i="56"/>
  <c r="J16" i="56" s="1"/>
  <c r="L15" i="56"/>
  <c r="L16" i="56" s="1"/>
  <c r="G15" i="56"/>
  <c r="G16" i="56" s="1"/>
  <c r="E15" i="56"/>
  <c r="E16" i="56" s="1"/>
  <c r="M26" i="21"/>
  <c r="M26" i="56" s="1"/>
  <c r="C26" i="21"/>
  <c r="C27" i="21" s="1"/>
  <c r="C31" i="21" s="1"/>
  <c r="F26" i="21"/>
  <c r="F26" i="56" s="1"/>
  <c r="N20" i="56"/>
  <c r="O13" i="46"/>
  <c r="G91" i="51"/>
  <c r="G94" i="51" s="1"/>
  <c r="G96" i="51" s="1"/>
  <c r="G45" i="31"/>
  <c r="G47" i="31" s="1"/>
  <c r="R12" i="46"/>
  <c r="G83" i="40"/>
  <c r="G91" i="40" s="1"/>
  <c r="G93" i="40" s="1"/>
  <c r="D91" i="40"/>
  <c r="D93" i="40" s="1"/>
  <c r="H15" i="56"/>
  <c r="H16" i="56" s="1"/>
  <c r="N15" i="56"/>
  <c r="N16" i="56" s="1"/>
  <c r="C15" i="56"/>
  <c r="C16" i="56" s="1"/>
  <c r="I26" i="21"/>
  <c r="I26" i="56" s="1"/>
  <c r="F54" i="31"/>
  <c r="F56" i="31" s="1"/>
  <c r="C73" i="51"/>
  <c r="C74" i="51" s="1"/>
  <c r="C77" i="51" s="1"/>
  <c r="D45" i="40"/>
  <c r="M133" i="44"/>
  <c r="N22" i="44"/>
  <c r="N133" i="44" s="1"/>
  <c r="N135" i="44" s="1"/>
  <c r="M118" i="49"/>
  <c r="M207" i="49"/>
  <c r="M238" i="49" s="1"/>
  <c r="N117" i="49"/>
  <c r="B26" i="46"/>
  <c r="Q26" i="46" s="1"/>
  <c r="B26" i="21"/>
  <c r="H20" i="56"/>
  <c r="H27" i="56" s="1"/>
  <c r="C20" i="56"/>
  <c r="K20" i="56"/>
  <c r="J20" i="56"/>
  <c r="J27" i="56" s="1"/>
  <c r="E20" i="56"/>
  <c r="M20" i="56"/>
  <c r="G20" i="56"/>
  <c r="G27" i="56" s="1"/>
  <c r="F20" i="56"/>
  <c r="I20" i="56"/>
  <c r="L20" i="56"/>
  <c r="L27" i="56" s="1"/>
  <c r="L29" i="56" s="1"/>
  <c r="C69" i="21"/>
  <c r="D69" i="21" s="1"/>
  <c r="E69" i="21" s="1"/>
  <c r="F69" i="21" s="1"/>
  <c r="G69" i="21" s="1"/>
  <c r="H69" i="21" s="1"/>
  <c r="I69" i="21" s="1"/>
  <c r="D27" i="21"/>
  <c r="D29" i="21" s="1"/>
  <c r="L27" i="21"/>
  <c r="L29" i="21" s="1"/>
  <c r="J27" i="21"/>
  <c r="J29" i="21" s="1"/>
  <c r="M27" i="21"/>
  <c r="M29" i="21" s="1"/>
  <c r="N26" i="56"/>
  <c r="N27" i="21"/>
  <c r="N29" i="21" s="1"/>
  <c r="N84" i="21"/>
  <c r="N86" i="21" s="1"/>
  <c r="D104" i="21"/>
  <c r="D50" i="21"/>
  <c r="D51" i="21"/>
  <c r="E51" i="21" s="1"/>
  <c r="F51" i="21" s="1"/>
  <c r="G51" i="21" s="1"/>
  <c r="H29" i="21"/>
  <c r="I84" i="21"/>
  <c r="I86" i="21" s="1"/>
  <c r="D84" i="21"/>
  <c r="D86" i="21" s="1"/>
  <c r="L84" i="21"/>
  <c r="L86" i="21" s="1"/>
  <c r="G84" i="21"/>
  <c r="G86" i="21" s="1"/>
  <c r="F84" i="21"/>
  <c r="F86" i="21" s="1"/>
  <c r="E84" i="21"/>
  <c r="E86" i="21" s="1"/>
  <c r="M84" i="21"/>
  <c r="M86" i="21" s="1"/>
  <c r="H84" i="21"/>
  <c r="H86" i="21" s="1"/>
  <c r="C84" i="21"/>
  <c r="K84" i="21"/>
  <c r="K86" i="21" s="1"/>
  <c r="J84" i="21"/>
  <c r="H29" i="56" l="1"/>
  <c r="V28" i="46"/>
  <c r="C26" i="56"/>
  <c r="C29" i="21"/>
  <c r="D31" i="21"/>
  <c r="C106" i="21"/>
  <c r="D106" i="21" s="1"/>
  <c r="E106" i="21" s="1"/>
  <c r="F106" i="21" s="1"/>
  <c r="G106" i="21" s="1"/>
  <c r="H106" i="21" s="1"/>
  <c r="I106" i="21" s="1"/>
  <c r="D20" i="56"/>
  <c r="D27" i="56" s="1"/>
  <c r="D29" i="56" s="1"/>
  <c r="J86" i="21"/>
  <c r="J69" i="21"/>
  <c r="K69" i="21" s="1"/>
  <c r="L69" i="21" s="1"/>
  <c r="M69" i="21" s="1"/>
  <c r="N69" i="21" s="1"/>
  <c r="H51" i="21"/>
  <c r="I51" i="21" s="1"/>
  <c r="J51" i="21" s="1"/>
  <c r="K51" i="21" s="1"/>
  <c r="L51" i="21" s="1"/>
  <c r="M51" i="21" s="1"/>
  <c r="N51" i="21" s="1"/>
  <c r="N27" i="56"/>
  <c r="N29" i="56" s="1"/>
  <c r="M27" i="56"/>
  <c r="M29" i="56" s="1"/>
  <c r="J29" i="56"/>
  <c r="I27" i="21"/>
  <c r="I29" i="21" s="1"/>
  <c r="F27" i="21"/>
  <c r="F29" i="21" s="1"/>
  <c r="I27" i="56"/>
  <c r="I29" i="56" s="1"/>
  <c r="G29" i="56"/>
  <c r="K26" i="56"/>
  <c r="K27" i="56" s="1"/>
  <c r="K29" i="56" s="1"/>
  <c r="K27" i="21"/>
  <c r="K29" i="21" s="1"/>
  <c r="E26" i="56"/>
  <c r="E27" i="56" s="1"/>
  <c r="E29" i="56" s="1"/>
  <c r="E27" i="21"/>
  <c r="E29" i="21" s="1"/>
  <c r="F27" i="56"/>
  <c r="F29" i="56" s="1"/>
  <c r="M208" i="49"/>
  <c r="N118" i="49"/>
  <c r="N208" i="49" s="1"/>
  <c r="N239" i="49" s="1"/>
  <c r="N241" i="49" s="1"/>
  <c r="C26" i="46"/>
  <c r="M135" i="44"/>
  <c r="P133" i="44"/>
  <c r="R13" i="46"/>
  <c r="T12" i="46"/>
  <c r="G54" i="31"/>
  <c r="G56" i="31" s="1"/>
  <c r="G58" i="31" s="1"/>
  <c r="G59" i="31" s="1"/>
  <c r="G48" i="31"/>
  <c r="J106" i="21"/>
  <c r="C87" i="21"/>
  <c r="D87" i="21" s="1"/>
  <c r="E87" i="21" s="1"/>
  <c r="F87" i="21" s="1"/>
  <c r="G87" i="21" s="1"/>
  <c r="H87" i="21" s="1"/>
  <c r="I87" i="21" s="1"/>
  <c r="J87" i="21" s="1"/>
  <c r="C86" i="21"/>
  <c r="C27" i="56"/>
  <c r="E31" i="21" l="1"/>
  <c r="C31" i="56"/>
  <c r="D31" i="56" s="1"/>
  <c r="E31" i="56" s="1"/>
  <c r="K106" i="21"/>
  <c r="L106" i="21" s="1"/>
  <c r="M106" i="21" s="1"/>
  <c r="N106" i="21" s="1"/>
  <c r="K87" i="21"/>
  <c r="L87" i="21" s="1"/>
  <c r="M87" i="21" s="1"/>
  <c r="N87" i="21" s="1"/>
  <c r="R15" i="46"/>
  <c r="T15" i="46" s="1"/>
  <c r="T13" i="46"/>
  <c r="R26" i="46"/>
  <c r="C29" i="46"/>
  <c r="M239" i="49"/>
  <c r="M241" i="49" s="1"/>
  <c r="C29" i="56"/>
  <c r="K143" i="55"/>
  <c r="B25" i="21"/>
  <c r="B27" i="21" s="1"/>
  <c r="B29" i="21" s="1"/>
  <c r="Q27" i="46"/>
  <c r="Q29" i="46" s="1"/>
  <c r="Q31" i="46" s="1"/>
  <c r="B29" i="46"/>
  <c r="K101" i="49"/>
  <c r="F31" i="21" l="1"/>
  <c r="G31" i="21" s="1"/>
  <c r="H31" i="21" s="1"/>
  <c r="I31" i="21" s="1"/>
  <c r="J31" i="21" s="1"/>
  <c r="K31" i="21" s="1"/>
  <c r="L31" i="21" s="1"/>
  <c r="M31" i="21" s="1"/>
  <c r="N31" i="21" s="1"/>
  <c r="F31" i="56"/>
  <c r="G31" i="56" s="1"/>
  <c r="H31" i="56" s="1"/>
  <c r="I31" i="56" s="1"/>
  <c r="J31" i="56" s="1"/>
  <c r="K31" i="56" s="1"/>
  <c r="L31" i="56" s="1"/>
  <c r="M31" i="56" s="1"/>
  <c r="N31" i="56" s="1"/>
  <c r="T26" i="46"/>
  <c r="R29" i="46"/>
  <c r="N101" i="49"/>
  <c r="N207" i="49" s="1"/>
  <c r="N238" i="49" s="1"/>
  <c r="K207" i="49"/>
  <c r="N143" i="55"/>
  <c r="K283" i="55"/>
  <c r="F95" i="51"/>
  <c r="F96" i="51" s="1"/>
  <c r="N6" i="44"/>
  <c r="N132" i="44" s="1"/>
  <c r="R31" i="46" l="1"/>
  <c r="T31" i="46" s="1"/>
  <c r="T29" i="46"/>
  <c r="N283" i="55"/>
  <c r="N336" i="55" s="1"/>
  <c r="K238" i="49"/>
  <c r="K336" i="55"/>
  <c r="B25" i="56" l="1"/>
  <c r="B27" i="56" s="1"/>
  <c r="B29" i="56" s="1"/>
  <c r="F20" i="54"/>
  <c r="F22" i="54" s="1"/>
</calcChain>
</file>

<file path=xl/comments1.xml><?xml version="1.0" encoding="utf-8"?>
<comments xmlns="http://schemas.openxmlformats.org/spreadsheetml/2006/main">
  <authors>
    <author>Bugyi Polgármesteri Hivatal</author>
  </authors>
  <commentList>
    <comment ref="B24" authorId="0">
      <text>
        <r>
          <rPr>
            <b/>
            <sz val="8"/>
            <color indexed="81"/>
            <rFont val="Tahoma"/>
            <family val="2"/>
            <charset val="238"/>
          </rPr>
          <t>Bugyi Polgármesteri Hivatal: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<sst xmlns="http://schemas.openxmlformats.org/spreadsheetml/2006/main" count="2368" uniqueCount="641">
  <si>
    <t>Összesen:</t>
  </si>
  <si>
    <t>Közvilágítás</t>
  </si>
  <si>
    <t>Önk. Ig. tevékenysége</t>
  </si>
  <si>
    <t>Könyvtár</t>
  </si>
  <si>
    <t>Hitel</t>
  </si>
  <si>
    <t>FELÚJÍTÁS</t>
  </si>
  <si>
    <t>Felújítási és felhalmozási kiadások együtt:</t>
  </si>
  <si>
    <t>Össszesen</t>
  </si>
  <si>
    <t>Működési célú bevételek összesen</t>
  </si>
  <si>
    <t>Személyi juttatások</t>
  </si>
  <si>
    <t>Működési célú kiadások összesen</t>
  </si>
  <si>
    <t>Önkormányzatok felhalmozási és tőke jell. bevételei</t>
  </si>
  <si>
    <t>Felhalmozási ÁFA visszatérülések</t>
  </si>
  <si>
    <t>Felhalmozási bevételek összesen</t>
  </si>
  <si>
    <t>Felhalmozási kiadások (ÁFA-val együtt)</t>
  </si>
  <si>
    <t>Felújítások kiadások (ÁFA-val együtt)</t>
  </si>
  <si>
    <t>Felhalmozási kiadások összesen</t>
  </si>
  <si>
    <t>Önkormányzat bevételei összesen</t>
  </si>
  <si>
    <t>Önkormányzat kiadásai összesen</t>
  </si>
  <si>
    <t>Bevételek összesen:</t>
  </si>
  <si>
    <t>Dologi kiadások</t>
  </si>
  <si>
    <t>Össz.</t>
  </si>
  <si>
    <t xml:space="preserve">                    Felújítási és felhalmozási  kiadások részletezése</t>
  </si>
  <si>
    <t>főfogl.</t>
  </si>
  <si>
    <t>részfogl.</t>
  </si>
  <si>
    <t xml:space="preserve">                  </t>
  </si>
  <si>
    <t>Önk. ktgv-i támogatása és átengedett szja</t>
  </si>
  <si>
    <t>Önkormányzatok sajátos felhalmozási és tőke bevételei</t>
  </si>
  <si>
    <t xml:space="preserve">  Gyermekek táboroztatásának tám.</t>
  </si>
  <si>
    <t xml:space="preserve">  Gyáli Kistérség tagdíj</t>
  </si>
  <si>
    <t>Polgármesteri Hivatal</t>
  </si>
  <si>
    <t xml:space="preserve">Felj. célú támogatás </t>
  </si>
  <si>
    <t>Megnevezés:</t>
  </si>
  <si>
    <t xml:space="preserve">Január </t>
  </si>
  <si>
    <t>Február</t>
  </si>
  <si>
    <t>Március</t>
  </si>
  <si>
    <t>Április</t>
  </si>
  <si>
    <t xml:space="preserve">Május </t>
  </si>
  <si>
    <t>Június</t>
  </si>
  <si>
    <t>Július</t>
  </si>
  <si>
    <t>Bevételek</t>
  </si>
  <si>
    <t>Kiadások:</t>
  </si>
  <si>
    <t>Müködési kiadások</t>
  </si>
  <si>
    <t>Felújitási kiadások</t>
  </si>
  <si>
    <t>Tartalék</t>
  </si>
  <si>
    <t>Kiadások összesen :</t>
  </si>
  <si>
    <t>Egyenleg</t>
  </si>
  <si>
    <t>Aug.</t>
  </si>
  <si>
    <t>Szept.</t>
  </si>
  <si>
    <t>Okt.</t>
  </si>
  <si>
    <t>Nov.</t>
  </si>
  <si>
    <t>Dec.</t>
  </si>
  <si>
    <t>adatok ezer Ft-ban</t>
  </si>
  <si>
    <t>Összesen</t>
  </si>
  <si>
    <t xml:space="preserve">Önkormányzat költségvetési támogatása </t>
  </si>
  <si>
    <t xml:space="preserve">Város és községgazd. </t>
  </si>
  <si>
    <t>Napköziotthonos Óvoda</t>
  </si>
  <si>
    <t>Személyi 
juttatások</t>
  </si>
  <si>
    <t>Fin. 
Kiadás</t>
  </si>
  <si>
    <t xml:space="preserve">    - igazgatás</t>
  </si>
  <si>
    <t xml:space="preserve">    </t>
  </si>
  <si>
    <t xml:space="preserve">Munkatv. </t>
  </si>
  <si>
    <t>Közalkalmazottak</t>
  </si>
  <si>
    <t xml:space="preserve">   - közterület-felügyelő</t>
  </si>
  <si>
    <t xml:space="preserve">    - óvodai nevelés</t>
  </si>
  <si>
    <t xml:space="preserve">   - művelődési ház</t>
  </si>
  <si>
    <t xml:space="preserve">   - könyvtár</t>
  </si>
  <si>
    <t xml:space="preserve">    - település üzemeltetés</t>
  </si>
  <si>
    <t xml:space="preserve">   - mezei őrszolgálat</t>
  </si>
  <si>
    <t xml:space="preserve">Dologi kiadások </t>
  </si>
  <si>
    <t>1+....4 (5)</t>
  </si>
  <si>
    <t>A felhalmozási célú hiány finanszírozása külső forrással(hitel)</t>
  </si>
  <si>
    <t>6+..11(12)</t>
  </si>
  <si>
    <t>Értékesített tárgyi eszközök, imm.j. utáni áfa befiz</t>
  </si>
  <si>
    <t>Gyöngyölített</t>
  </si>
  <si>
    <t>BEVÉTELEK</t>
  </si>
  <si>
    <t>KIADÁSOK</t>
  </si>
  <si>
    <t>Eu-s támogatás</t>
  </si>
  <si>
    <t>Önkormányzati saját forrás</t>
  </si>
  <si>
    <t xml:space="preserve">Iparűzési adó </t>
  </si>
  <si>
    <t>mentesség összege</t>
  </si>
  <si>
    <t>kedvezmény összege</t>
  </si>
  <si>
    <t xml:space="preserve">Gépráműadó </t>
  </si>
  <si>
    <t xml:space="preserve">2. Helyi adónál, gépjárműadónál biztosított kedvezmény, mentesség összege </t>
  </si>
  <si>
    <t>Finanszírozási bevételek összesen:</t>
  </si>
  <si>
    <t xml:space="preserve">Finanszírozási kiadások összesen: </t>
  </si>
  <si>
    <t>Értékesített tárgyi eszközök és imm. Javak Áfa-ja</t>
  </si>
  <si>
    <t>Hosszú lejáratú hitel</t>
  </si>
  <si>
    <t>13+..19 (20)</t>
  </si>
  <si>
    <t>5. Lakosság részére lakásépítéshez, lakásfelújításhoz nyújtott kölcsönök elengedésének összege                                                                                                            0</t>
  </si>
  <si>
    <t>Munkáltatói
járulékok</t>
  </si>
  <si>
    <t>Dologi 
kiadások</t>
  </si>
  <si>
    <t>Szakfeladat megnevezése</t>
  </si>
  <si>
    <t>Szakfeladat</t>
  </si>
  <si>
    <t>Költségvetési kiadás összesen</t>
  </si>
  <si>
    <t>Intézményi
működési 
bevétel</t>
  </si>
  <si>
    <t>Költségvetési bevétel összesen</t>
  </si>
  <si>
    <t>Átvett 
pénzeszköz</t>
  </si>
  <si>
    <t>Közművelődési Intézmény</t>
  </si>
  <si>
    <t>Központi költségvetésből származó egyéb tám.</t>
  </si>
  <si>
    <t>EU forrásból megvalósuló porjekt bevétele</t>
  </si>
  <si>
    <t>Iparűzési adó</t>
  </si>
  <si>
    <t>Felhalmozási bevételek</t>
  </si>
  <si>
    <t>BEVÉTELEK ÖSSZESEN</t>
  </si>
  <si>
    <t>Támogatások/Átvett pénzeszközök</t>
  </si>
  <si>
    <t>Mezei őrszolgálat működéséhez</t>
  </si>
  <si>
    <t>Dologi
kiadások</t>
  </si>
  <si>
    <t>Ált.
tartalék</t>
  </si>
  <si>
    <t>BERUHÁZÁS</t>
  </si>
  <si>
    <t>Finanszírozási műveletek</t>
  </si>
  <si>
    <t>Háziorvosi ügyeleti ellátás</t>
  </si>
  <si>
    <t>Ifjúságegészségügyi ellátás</t>
  </si>
  <si>
    <t>Család és nővédelmi gondozás</t>
  </si>
  <si>
    <t>Gyermekjóléti szolg</t>
  </si>
  <si>
    <t>Bugyi Nagyközség Önkormányzata</t>
  </si>
  <si>
    <t>Településfejlesztési-ellátási és üzemeltetési szerv</t>
  </si>
  <si>
    <t>Köztisztv.</t>
  </si>
  <si>
    <t>Közcélú
 fogl</t>
  </si>
  <si>
    <t xml:space="preserve">Bevételek </t>
  </si>
  <si>
    <t>Önkormányzat</t>
  </si>
  <si>
    <t>TEFÜSZ</t>
  </si>
  <si>
    <t>Polgármest.
Hivatal</t>
  </si>
  <si>
    <t>Napköziotthonos 
Óvoda</t>
  </si>
  <si>
    <t>Kiadások</t>
  </si>
  <si>
    <t>Beruházások</t>
  </si>
  <si>
    <t>Felújítások</t>
  </si>
  <si>
    <t>Finanszírozási kiadások</t>
  </si>
  <si>
    <t>Általános Tartalék</t>
  </si>
  <si>
    <t>Céltartalék</t>
  </si>
  <si>
    <t xml:space="preserve">  Értetek Veletek Alapítvány étkezési költség támogatása</t>
  </si>
  <si>
    <t>Közterület rendjének fenntartása</t>
  </si>
  <si>
    <t>Normatív
hozzájárulások</t>
  </si>
  <si>
    <t>EU 
támogatás</t>
  </si>
  <si>
    <t>Fin. 
Bevételek</t>
  </si>
  <si>
    <t>talajterhelési díj</t>
  </si>
  <si>
    <t>Civil szervezetek működési támogatása</t>
  </si>
  <si>
    <t xml:space="preserve">Bugyi Nagyközség Önkormányzata </t>
  </si>
  <si>
    <t>Településellátási- fejlesztési és üzemeltetési szerv</t>
  </si>
  <si>
    <t>Működési célú költségvetési többlet</t>
  </si>
  <si>
    <t xml:space="preserve">Felhalmozási bevételi többlet igénybev. a műk-i hiány fin-ra: </t>
  </si>
  <si>
    <t xml:space="preserve">    - védőnői szolgálat</t>
  </si>
  <si>
    <t>Bevételek összesen</t>
  </si>
  <si>
    <t>Kiadások összesen</t>
  </si>
  <si>
    <t xml:space="preserve">                                                                            </t>
  </si>
  <si>
    <t>Cél
tartalék</t>
  </si>
  <si>
    <t>Lakossági járdaépítések önkormányzati támogatással</t>
  </si>
  <si>
    <t>Bugyi Nagyközség Önkormányzatának az európai uniós forrásból finanszírozott támogatással megvalósuló projektek bevételei és kiadásai (adatok ezer forintban)</t>
  </si>
  <si>
    <t>Kivitelezési költség</t>
  </si>
  <si>
    <t xml:space="preserve">   </t>
  </si>
  <si>
    <t>III. Finanszírozási célú bevételek és kiadások</t>
  </si>
  <si>
    <t>II. Felhalmozási célú bevételek és kiadások</t>
  </si>
  <si>
    <t>I.  Működési bevételek és kiadások</t>
  </si>
  <si>
    <t xml:space="preserve">                                                                                      </t>
  </si>
  <si>
    <t xml:space="preserve">                </t>
  </si>
  <si>
    <t>Beruházások, felújítások FAD befizetés</t>
  </si>
  <si>
    <t>21+.…25(26)</t>
  </si>
  <si>
    <t>A költségvetési hiány fin.külső forrással (folyószámlahitel)</t>
  </si>
  <si>
    <t xml:space="preserve">  -óvodapedagógusok és a nevelő munkát segítők bértámog.</t>
  </si>
  <si>
    <t xml:space="preserve">  -óvoda működési támogatás</t>
  </si>
  <si>
    <t xml:space="preserve">  -ingyenes és kedvezményes gyermekétkeztetés</t>
  </si>
  <si>
    <t xml:space="preserve">  -könyvtári, közművelődési támogatás</t>
  </si>
  <si>
    <t>Szenyvízgyűjtése és kezelése</t>
  </si>
  <si>
    <t>TB Alaptól védőnők és iskola eü-i feladatokra, háziorvosi szolg</t>
  </si>
  <si>
    <t>Család és nővédelmi eü-i gondozás</t>
  </si>
  <si>
    <t>Szennyvízelvezetés és kezelés</t>
  </si>
  <si>
    <t>Zöldterület kezelés(terek)</t>
  </si>
  <si>
    <t xml:space="preserve">Kivitelezési költség áfa </t>
  </si>
  <si>
    <t>1. Ellátottak térítési díjának, kártérítésének méltányossági alapon történő elengedésének összege</t>
  </si>
  <si>
    <t>3. Helyiségek, eszközök hasznosításából származó bev-ből nyújtot kedv., mentesség összege</t>
  </si>
  <si>
    <t>4. Egyéb nyújtott kedvezmény vagy kölcsön elengedésének összege</t>
  </si>
  <si>
    <t>Bessenyei Gy. Művelődési Ház és Könyvtár "IKSZT"</t>
  </si>
  <si>
    <t>Kezességvállalásból fennálló kötelezettség</t>
  </si>
  <si>
    <t>Felhalmozási célú költségvetési hiány</t>
  </si>
  <si>
    <t>Támogatásértékű felhalmozási célú pénzeszköz átvétel</t>
  </si>
  <si>
    <t>Támogatásért. felhalmozási célú pénzeszközátadás</t>
  </si>
  <si>
    <t>Közhalatmi bevételek</t>
  </si>
  <si>
    <t>Kötelező feladatok</t>
  </si>
  <si>
    <t>Kötelező feldatok</t>
  </si>
  <si>
    <t>Önként vállalt feladat</t>
  </si>
  <si>
    <t>Önként vállalt feladatok</t>
  </si>
  <si>
    <t>Államigazgatási feladat</t>
  </si>
  <si>
    <t>Bugyi Nagyközség Önkormányzatának a Stabilitási törvény 3. § (1) bekezdése szerinti 
adósságot keletkeztető ügyletekből és
kezességvállalásból fennálló kötelezettségei</t>
  </si>
  <si>
    <t>Közhatalmi bevételek</t>
  </si>
  <si>
    <t>Bessenyei Gy. Műv Ház és
Könyvtár "IKSZT"</t>
  </si>
  <si>
    <t>*A fejlesztési célokhoz a Stabilitási tv. 3. § (1) bekezdése szerinti adósságot keletkeztető ügylet megkötése válhat szükségessé</t>
  </si>
  <si>
    <t>Az önkormányzat saját bevételének minősül</t>
  </si>
  <si>
    <t>II. A Stabilitási törvény 45. § (1) bekezdése alapján kiadott felhatalmazás szerint a 353/2011. (XII.30.) korm rendelet szerinti 
saját bevétel</t>
  </si>
  <si>
    <t xml:space="preserve">                           az osztalék, a koncessziós díj és a hozambevétel,</t>
  </si>
  <si>
    <t xml:space="preserve">                           bírság-, pótlék- és díjbevétel, valamint</t>
  </si>
  <si>
    <t xml:space="preserve">                          a kezességvállalással kapcsolatos megtérülés.</t>
  </si>
  <si>
    <t xml:space="preserve">                           az önk. vagyon és az önk.megillető vagyoni ér. jog ért.és haszn.származó bevétel,</t>
  </si>
  <si>
    <t xml:space="preserve">                           a tárgyi eszköz és az immat.jószág, részvény, részes. vállalat ért. vagy privatizáció bev.,</t>
  </si>
  <si>
    <t>MVH Területalapú támogatás</t>
  </si>
  <si>
    <t>Bugyi Nagyközség Polgármesteri Hivatala</t>
  </si>
  <si>
    <t>Működési bevételek összesen</t>
  </si>
  <si>
    <t>Irányító szervtől kapott támgoatás</t>
  </si>
  <si>
    <t>Költségvetési bevételek összesen</t>
  </si>
  <si>
    <t>Működési kiadások összesen</t>
  </si>
  <si>
    <t>Felújítások áfával</t>
  </si>
  <si>
    <t>Felhalmozási kiadások összesen:</t>
  </si>
  <si>
    <t>Lekötött betét feloldása</t>
  </si>
  <si>
    <t>Bevételek mindösszesen</t>
  </si>
  <si>
    <t>Kiadások mindösszesen.</t>
  </si>
  <si>
    <t>Bessenyei György Művelődési Ház és Könyvtár "IKSZT"</t>
  </si>
  <si>
    <t>Bugyi Nagyk. Önk. Településfejl.-ellátási és üz. Szerv</t>
  </si>
  <si>
    <t>Költségvetési kiadások összesen.</t>
  </si>
  <si>
    <t>Az önkormányzat saját bevételének 50 %-a</t>
  </si>
  <si>
    <t>Költségvetési szerv</t>
  </si>
  <si>
    <t>Közfoglalkoztatottak száma</t>
  </si>
  <si>
    <t xml:space="preserve">  Bugyelláris Egyesület Tájház működtetésének támogatása</t>
  </si>
  <si>
    <t>Önkormányzatok működési támogatása</t>
  </si>
  <si>
    <t>Állami támogatások</t>
  </si>
  <si>
    <t>Egyes köznevelési feladatok támgoatása</t>
  </si>
  <si>
    <t>Szociális, gyermekétkeztetési feladatok támogatása</t>
  </si>
  <si>
    <t>Kulturális feladatok támogatása</t>
  </si>
  <si>
    <t>Korm. 
funkció</t>
  </si>
  <si>
    <t>Kormányzati funkció 
megnevezése</t>
  </si>
  <si>
    <t>Működési 
bevételek</t>
  </si>
  <si>
    <t>Közhatalmi
bevételek</t>
  </si>
  <si>
    <t>Felhalmozási
bevételek</t>
  </si>
  <si>
    <t>Működésicélra átvett
 pénzeszk</t>
  </si>
  <si>
    <t>Felhalmozási célra átvett pénzeszközök</t>
  </si>
  <si>
    <t>Az önkormányzat általános működésének és ágazati feladatainak támogatása</t>
  </si>
  <si>
    <t xml:space="preserve">  -önkormányzat működésének támogatása</t>
  </si>
  <si>
    <t>Korm. 
Funkció</t>
  </si>
  <si>
    <t>Kormányzati funkció megnevezése</t>
  </si>
  <si>
    <t>Munkaadókat terhelő járulékok és Szoc hj. Adó</t>
  </si>
  <si>
    <t>Ellátottak pénzbeli juttatásai</t>
  </si>
  <si>
    <t>Egyéb működési célú kiadások</t>
  </si>
  <si>
    <t>Korm.
Funkció</t>
  </si>
  <si>
    <t>011130</t>
  </si>
  <si>
    <t>031030</t>
  </si>
  <si>
    <t>091110</t>
  </si>
  <si>
    <t>Óvodai nevelés, ellátás szakmai feladatai</t>
  </si>
  <si>
    <t>091140</t>
  </si>
  <si>
    <t>Óvodai nevelés, ellátás működési feladatai</t>
  </si>
  <si>
    <t>091120</t>
  </si>
  <si>
    <t>Sajátos nevelési igényű gyerekek óvodai nevelés</t>
  </si>
  <si>
    <t>Kormnyzati funkció megnevezése</t>
  </si>
  <si>
    <t>082044</t>
  </si>
  <si>
    <t>082091</t>
  </si>
  <si>
    <t>013350</t>
  </si>
  <si>
    <t>Önk-i vagyonnal való gazdálkodás</t>
  </si>
  <si>
    <t>041233</t>
  </si>
  <si>
    <t>Hosszabb időtartamú közfoglalkoztatás</t>
  </si>
  <si>
    <t>045160</t>
  </si>
  <si>
    <t>Közutak fenntartása</t>
  </si>
  <si>
    <t>066020</t>
  </si>
  <si>
    <t>Önk-i vagyonnal való gazd</t>
  </si>
  <si>
    <t>031060</t>
  </si>
  <si>
    <t>Bűnmegelőzés</t>
  </si>
  <si>
    <t>042120</t>
  </si>
  <si>
    <t>Mezőgazdasági támogatások</t>
  </si>
  <si>
    <t>047120</t>
  </si>
  <si>
    <t>Piac üzemeltetés</t>
  </si>
  <si>
    <t>052080</t>
  </si>
  <si>
    <t>063080</t>
  </si>
  <si>
    <t>Vízellátással kapcsolatosközmű fennt</t>
  </si>
  <si>
    <t>072111</t>
  </si>
  <si>
    <t>Háziorvosi alapellátás</t>
  </si>
  <si>
    <t>072112</t>
  </si>
  <si>
    <t>074031</t>
  </si>
  <si>
    <t>074032</t>
  </si>
  <si>
    <t>074051</t>
  </si>
  <si>
    <t>Nem fertőző megbetegedések megelőz</t>
  </si>
  <si>
    <t>083030</t>
  </si>
  <si>
    <t>Egyéb kiadói tevékenység</t>
  </si>
  <si>
    <t>104042</t>
  </si>
  <si>
    <t>104051</t>
  </si>
  <si>
    <t>Gyermekvédelmi támogatás</t>
  </si>
  <si>
    <t>106020</t>
  </si>
  <si>
    <t>Lakáfenntartási ellátások</t>
  </si>
  <si>
    <t>107060</t>
  </si>
  <si>
    <t>Egyéb szoc. Pénzbeli és természetb. Ell</t>
  </si>
  <si>
    <t>045150</t>
  </si>
  <si>
    <t>Egyéb szárazföldi személyszáll</t>
  </si>
  <si>
    <t>064010</t>
  </si>
  <si>
    <t>066010</t>
  </si>
  <si>
    <t>900060</t>
  </si>
  <si>
    <t>084031</t>
  </si>
  <si>
    <t>084032</t>
  </si>
  <si>
    <t>Civil szervezetek programtámogatása</t>
  </si>
  <si>
    <t>Vízellátással kapcs. Közmű fennt</t>
  </si>
  <si>
    <t>Ön-ki vagyonnal való gazd(bérbeadás)</t>
  </si>
  <si>
    <t>018030</t>
  </si>
  <si>
    <t>Támogatási célú finansz.műveletek</t>
  </si>
  <si>
    <t>Támogatási célú finanszírozási műveletek</t>
  </si>
  <si>
    <t>Finanszírozási
bevétel</t>
  </si>
  <si>
    <t>Finanszírozási
bevételek</t>
  </si>
  <si>
    <t>Finanszírozási 
bevételek</t>
  </si>
  <si>
    <t>Támogatási célú finanszírozási műveltek</t>
  </si>
  <si>
    <t>Város és községgazdálkodás</t>
  </si>
  <si>
    <t>Iskolai, diáksport tev. Támogatása</t>
  </si>
  <si>
    <t>072122</t>
  </si>
  <si>
    <t>018010</t>
  </si>
  <si>
    <t>Önkormányzatok elszám. Kp.-i ktgv. Szerv</t>
  </si>
  <si>
    <t>gépjárműadó</t>
  </si>
  <si>
    <t>egyéb közhatalmi bevétel</t>
  </si>
  <si>
    <t>Működési bevételek</t>
  </si>
  <si>
    <t>Működési célú tám. Áht belülről</t>
  </si>
  <si>
    <t>Felhalmozási célú tám. Áht. Belülről</t>
  </si>
  <si>
    <t>Működési célra átvett pénzeszközök</t>
  </si>
  <si>
    <t>Finanszírozási bevételek</t>
  </si>
  <si>
    <t>Munkaadókat terhelő jár. És szoc hj adó</t>
  </si>
  <si>
    <t>Egyéb felhalmozási célú kiadások</t>
  </si>
  <si>
    <t xml:space="preserve">   - településőr</t>
  </si>
  <si>
    <t xml:space="preserve">047120 </t>
  </si>
  <si>
    <t>Piac üzemeltetése</t>
  </si>
  <si>
    <t>Ifjúság-egészségügyi gondozás</t>
  </si>
  <si>
    <t>Munkaadókat terhelő járulékok és szoc hj adó</t>
  </si>
  <si>
    <t>Költségvetési szerveknek átadott finanszírozás</t>
  </si>
  <si>
    <t>27+29(30)</t>
  </si>
  <si>
    <t>05+20+26(31)</t>
  </si>
  <si>
    <t>12+25+30(32)</t>
  </si>
  <si>
    <t>31-32    (33)</t>
  </si>
  <si>
    <t>Felhalmozás-felújítás</t>
  </si>
  <si>
    <t>Arany J. u. gyalogátkelő hely kialakítása</t>
  </si>
  <si>
    <t>Normatív hozzájárulások</t>
  </si>
  <si>
    <t>Egyéb felhalmozási célcú kiad.</t>
  </si>
  <si>
    <t>Felhalmozási kiadások</t>
  </si>
  <si>
    <t>Működési bevétel</t>
  </si>
  <si>
    <t>Felhalmozási célra átvett péneszk</t>
  </si>
  <si>
    <t>Munkaadókat terhelő jár és szoc. Hj. Adó</t>
  </si>
  <si>
    <t>Ellátottak pénzbelijuttatásai</t>
  </si>
  <si>
    <t>Beruházások áfával</t>
  </si>
  <si>
    <t>Finanszírozási bevételek összesen</t>
  </si>
  <si>
    <t>Normatív állami hozzájárulások</t>
  </si>
  <si>
    <t>Egyéb működési célő kiadások</t>
  </si>
  <si>
    <t>Intézményeknek folyósított támogatás</t>
  </si>
  <si>
    <t>Bugyi Nagyközség Önkormányzatának a Stabilitási törvény 3. § (1) bekezdése szerinti 
adósságot keletkeztető ügyletekből és
kezességvállalásból fennálló kötelezettségei, valamint saját bevételek három évre várható összege</t>
  </si>
  <si>
    <t>I. A Stabilitási törvény 3. § (1) bekezdése szerinti adósságok keletkeztető ügyletek</t>
  </si>
  <si>
    <t xml:space="preserve">  - hitel, kölcsön felvétele, átvállalás</t>
  </si>
  <si>
    <t xml:space="preserve">  - hitelviszonyt megtestesítő értékpapír forgalomba hozatala</t>
  </si>
  <si>
    <t xml:space="preserve">  - váltó kibocsátása</t>
  </si>
  <si>
    <t xml:space="preserve">  - visszavásárlási köt.kikötésével megkötött adásv. Szerz</t>
  </si>
  <si>
    <t xml:space="preserve"> </t>
  </si>
  <si>
    <t xml:space="preserve">  - szerződésben kapott, halasztott fiz, részletfizetés</t>
  </si>
  <si>
    <t xml:space="preserve">  - pénzügyi lízing megkötése</t>
  </si>
  <si>
    <r>
      <t>Egyéb felhalmozási célú kiadások</t>
    </r>
    <r>
      <rPr>
        <sz val="8.5"/>
        <rFont val="MS Sans Serif"/>
        <family val="2"/>
        <charset val="238"/>
      </rPr>
      <t>(átadott pénzeszk)</t>
    </r>
  </si>
  <si>
    <t>Véglegesen átadott működési célú támogatások</t>
  </si>
  <si>
    <t xml:space="preserve">  Caritas 97 Bt működéséhez támogatás</t>
  </si>
  <si>
    <t xml:space="preserve">  Bugyi SE  működéséhez támogatás</t>
  </si>
  <si>
    <t xml:space="preserve">  GYURO-TEAM SE működéséhez támogatás</t>
  </si>
  <si>
    <t>Véglegesen átadott felhalmozási célú támogatások</t>
  </si>
  <si>
    <t xml:space="preserve">  Határon túli pályázat (általános iskolai gyerekek táboroztatásához)</t>
  </si>
  <si>
    <r>
      <t>Egyéb működési célú kiadások</t>
    </r>
    <r>
      <rPr>
        <sz val="8.5"/>
        <rFont val="MS Sans Serif"/>
        <family val="2"/>
        <charset val="238"/>
      </rPr>
      <t>(átadott pénzeszk)</t>
    </r>
  </si>
  <si>
    <t>Mindösszesen</t>
  </si>
  <si>
    <t>Államigazgatási feladatok</t>
  </si>
  <si>
    <t>Összesített költségvetési bevétel összesen</t>
  </si>
  <si>
    <t>Összesített költségvetési kiadás összesen</t>
  </si>
  <si>
    <t>Kötelező feladatokhoz kapcsolódó ltségvetési bevétel összesen</t>
  </si>
  <si>
    <t>Önként vállalt feladatokhoz kapcsolódó költségvetési bevétel összesen</t>
  </si>
  <si>
    <r>
      <t>I.</t>
    </r>
    <r>
      <rPr>
        <sz val="10"/>
        <rFont val="MS Sans Serif"/>
        <family val="2"/>
        <charset val="238"/>
      </rPr>
      <t xml:space="preserve">  </t>
    </r>
    <r>
      <rPr>
        <u/>
        <sz val="10"/>
        <rFont val="MS Sans Serif"/>
        <family val="2"/>
        <charset val="238"/>
      </rPr>
      <t xml:space="preserve">(1) Bugyi Nagyközség Önkormányzatának a  Stabilitási törvény szerinti adósságot keletkeztető ügyletekből és 
</t>
    </r>
    <r>
      <rPr>
        <sz val="10"/>
        <rFont val="MS Sans Serif"/>
        <family val="2"/>
        <charset val="238"/>
      </rPr>
      <t xml:space="preserve">     </t>
    </r>
    <r>
      <rPr>
        <u/>
        <sz val="10"/>
        <rFont val="MS Sans Serif"/>
        <family val="2"/>
        <charset val="238"/>
      </rPr>
      <t>kezességvállalásból fennálló kötelezettsége nincs</t>
    </r>
  </si>
  <si>
    <t>Eredeti 
ei.</t>
  </si>
  <si>
    <t>Módosított 
ei.</t>
  </si>
  <si>
    <t>Teljesítés</t>
  </si>
  <si>
    <t>Eredeti előirányzat</t>
  </si>
  <si>
    <t>Módosított előirányzat</t>
  </si>
  <si>
    <t>Önként vállalt feladatok kiadása összesen</t>
  </si>
  <si>
    <t>Államigazgatási feladatok kiadása összesen</t>
  </si>
  <si>
    <t>Eredeti 
előirányzat</t>
  </si>
  <si>
    <t>Módosított 
előirányzat</t>
  </si>
  <si>
    <t>Eredeti 
előir.</t>
  </si>
  <si>
    <t>Mód. 
Előir.</t>
  </si>
  <si>
    <t>Módosított
előirányzat</t>
  </si>
  <si>
    <t>Nem fertőző megbetegedések megelőzése</t>
  </si>
  <si>
    <t>Módosított előirányzat összesen</t>
  </si>
  <si>
    <t>Eredeti ei.</t>
  </si>
  <si>
    <t xml:space="preserve">                       Felújítási és Beruházási kiadások eredeti előirányzata összesen *</t>
  </si>
  <si>
    <t xml:space="preserve">                       Felújítási és Beruházási kiadások módosított előirányzata összesen *</t>
  </si>
  <si>
    <t>Kötelező költségvetési bevétel összesen</t>
  </si>
  <si>
    <t>Önként vállalt feladatok költségvetési bevétel összesen</t>
  </si>
  <si>
    <t>Költségvetési bevétel mindösszesen</t>
  </si>
  <si>
    <t>Kötelező feladatok ktgv.kiadása összesen</t>
  </si>
  <si>
    <t>Önként vállalt feladatok ktgv. Kiadása összesen</t>
  </si>
  <si>
    <t>Költségvetési kiadások összesen</t>
  </si>
  <si>
    <t>Sajátos nevelési igényű gyerekek 
óvodai nevelés</t>
  </si>
  <si>
    <t>Sajátos nevelési igényű gyerekek
 óvodai nevelés</t>
  </si>
  <si>
    <t>Felújítási kiadások</t>
  </si>
  <si>
    <t>Felhalmozási, felújítási kiadások</t>
  </si>
  <si>
    <t>Önkormányzatok kiegészítő támogatása</t>
  </si>
  <si>
    <t>Önkormányzatok felhalmozási támogatásai</t>
  </si>
  <si>
    <t xml:space="preserve"> -társadalom és szociálpolitikai ellátások</t>
  </si>
  <si>
    <t>Felhalmozási célú támogatások</t>
  </si>
  <si>
    <t>Önk.igazg.tevékenysége</t>
  </si>
  <si>
    <t>Önk.igazgatási tevékenysége</t>
  </si>
  <si>
    <t>Átvett pénzeszköz</t>
  </si>
  <si>
    <t>096015</t>
  </si>
  <si>
    <t>Gyermekétkeztetés köznev. Intézményben</t>
  </si>
  <si>
    <t>Maradvány</t>
  </si>
  <si>
    <t>Gyermekétkeztetés köznevelési int.</t>
  </si>
  <si>
    <t>Gyermekétk.köznev. Intben</t>
  </si>
  <si>
    <t>mezőőri járulék</t>
  </si>
  <si>
    <t>Előző évi maradvány</t>
  </si>
  <si>
    <t>Gyermekétk.köznev. Intézményben</t>
  </si>
  <si>
    <t xml:space="preserve">  -óvodapedagógusok minősítésének kieg.tám.</t>
  </si>
  <si>
    <t>Gyermekétkeztetés köznev.int.</t>
  </si>
  <si>
    <t>TEFÜSZ iroda tetőszerkezetének felújítása</t>
  </si>
  <si>
    <t>buszmegállókba várótermek kialakítása</t>
  </si>
  <si>
    <t>Gyermekétk.köznev.int.</t>
  </si>
  <si>
    <t>Értékpapír befektetés</t>
  </si>
  <si>
    <t>Lekötött bankbetétek megszüntetése</t>
  </si>
  <si>
    <t>Működési célú és kiegészítő támogatások</t>
  </si>
  <si>
    <t>Önk.elszámolásai a kp.ktgvet.szervekkel</t>
  </si>
  <si>
    <t>Felújítási és Beruházási kiadások mód. ei. összesen *</t>
  </si>
  <si>
    <t>Felújítási és Beruházási kiadások eredeti ei. összesen *</t>
  </si>
  <si>
    <t>könyvvásárlás könyvtárba</t>
  </si>
  <si>
    <t>Költségvetési hiány belső finanszírozására 
szolgáló pénzf. nélküli bevétel (maradvány)</t>
  </si>
  <si>
    <t>Áh.belüli megelőleg.vfizetése</t>
  </si>
  <si>
    <t>Lekötött betét</t>
  </si>
  <si>
    <t>El.évi ktgvetési előleg vfiz.</t>
  </si>
  <si>
    <t xml:space="preserve">        - ebből felhalmozási célra igénybevett maradvány</t>
  </si>
  <si>
    <t xml:space="preserve">        - ebből finanszírozási kiadásra igénybevett maradvány</t>
  </si>
  <si>
    <t xml:space="preserve">        - ebből működési célra igénybevett maradvány</t>
  </si>
  <si>
    <t>Maradvány igénybevétele a műk.  hiány fedezetére:</t>
  </si>
  <si>
    <t>Értékpapír beváltása</t>
  </si>
  <si>
    <t>Előző évi ktgvetési maradvány</t>
  </si>
  <si>
    <t>Értékpapír vásárlása</t>
  </si>
  <si>
    <t>El.évi ktgvetési megelőleg.visszafizetése</t>
  </si>
  <si>
    <t>Eredeti előirányzat összesen</t>
  </si>
  <si>
    <t xml:space="preserve">Államháztartáson belüli </t>
  </si>
  <si>
    <t>Gyermekvédelmi támogatások</t>
  </si>
  <si>
    <t>Hosszabb időtart. Közfoglalkoztatás</t>
  </si>
  <si>
    <t>Óvodai nev.,ell.szakmai feladatai</t>
  </si>
  <si>
    <t>Óvodai nev.,ell. működési feladatai</t>
  </si>
  <si>
    <t>Államigazgatási feladatokhoz kapcsolódó költségvetési bevétel összesen</t>
  </si>
  <si>
    <t>Telj. %-ban</t>
  </si>
  <si>
    <t>Teljesítés %-ban</t>
  </si>
  <si>
    <t>Műk.célra átvett pénzeszköz</t>
  </si>
  <si>
    <t>teljesítés %-ban</t>
  </si>
  <si>
    <t>Fianaszírozási bevételek</t>
  </si>
  <si>
    <t xml:space="preserve">                       Felújítási és Beruházási kiadások teljesítés összesen *</t>
  </si>
  <si>
    <t xml:space="preserve">                       Felújítási és Beruházási kiadások teljesítése összesen *</t>
  </si>
  <si>
    <t>Elszámolásból szárm.bevételek</t>
  </si>
  <si>
    <t xml:space="preserve">Felújítási és Beruházási kiadások teljesítés összesen </t>
  </si>
  <si>
    <t>107052</t>
  </si>
  <si>
    <t>Házi segítségnyújtás</t>
  </si>
  <si>
    <t>Működési célra átvett pénzeszköz</t>
  </si>
  <si>
    <t>Működési célra átvett péneszk.</t>
  </si>
  <si>
    <t>Működési célra átvett péneszközök</t>
  </si>
  <si>
    <t>Működési célú tám. áht belülről</t>
  </si>
  <si>
    <t>Felhalmozási célú tám. áht. Belülről</t>
  </si>
  <si>
    <t>Munkaadókat terhelő jár. és szoc hj adó</t>
  </si>
  <si>
    <t>Bess.György Műv.ház és Könyvtár</t>
  </si>
  <si>
    <t>Kisértékű tárgyi eszközök:</t>
  </si>
  <si>
    <t xml:space="preserve"> -egyéb eszközök</t>
  </si>
  <si>
    <t>kisértékű tárgyi eszközök</t>
  </si>
  <si>
    <t>Temetőbe illemhely kialakítása</t>
  </si>
  <si>
    <t>Csobogó átalakítása, rekonstrukciója</t>
  </si>
  <si>
    <t>Bajcsy u. gyalogátkelő hely kialakítása</t>
  </si>
  <si>
    <t xml:space="preserve"> -köznevelési int. működtetéséhez kapcsolódó tám.</t>
  </si>
  <si>
    <t xml:space="preserve"> Bocskai ref. kisbusz támogatás</t>
  </si>
  <si>
    <t xml:space="preserve">  Dabas és Környéke Mentőorvosi Mentőtiszti Kocsi Nonprofit Kft.         egyszeri támogatás</t>
  </si>
  <si>
    <t>104037</t>
  </si>
  <si>
    <t>Int. kívüli gyermekétkeztetés</t>
  </si>
  <si>
    <t>Int.kívüli gyermekétkeztetés</t>
  </si>
  <si>
    <t>közcélú munka támogatása</t>
  </si>
  <si>
    <t>081043</t>
  </si>
  <si>
    <t>Bölcsöde épület támogatása</t>
  </si>
  <si>
    <t>Előző  évi maradvány</t>
  </si>
  <si>
    <t>Felhal.és műk. Célra átvett pénzeszk.</t>
  </si>
  <si>
    <t>Egyéb felhalmozási célú kiad.</t>
  </si>
  <si>
    <t xml:space="preserve">Előző  évi maradvány </t>
  </si>
  <si>
    <t>Önkormányzatok elsz. a kp.ktgvet.szerveikkel</t>
  </si>
  <si>
    <t>Önkormányzatok elszám. Kp.-i ktgv. szervezeteivel</t>
  </si>
  <si>
    <t>Előző évek maradványának igénybevételével:</t>
  </si>
  <si>
    <t>Egyéb működési célú kiadások(átadott pénzeszk)</t>
  </si>
  <si>
    <t>Egyéb felhalmozási célú kiadások(átadott pénzeszk)</t>
  </si>
  <si>
    <t xml:space="preserve"> Révfülöpi tábor működési támogatás</t>
  </si>
  <si>
    <r>
      <t xml:space="preserve">  -</t>
    </r>
    <r>
      <rPr>
        <sz val="10"/>
        <rFont val="MS Sans Serif"/>
        <family val="2"/>
        <charset val="238"/>
      </rPr>
      <t>polgármester</t>
    </r>
  </si>
  <si>
    <r>
      <t xml:space="preserve">  -</t>
    </r>
    <r>
      <rPr>
        <sz val="10"/>
        <rFont val="MS Sans Serif"/>
        <family val="2"/>
        <charset val="238"/>
      </rPr>
      <t>alpolgármester</t>
    </r>
  </si>
  <si>
    <t>900020</t>
  </si>
  <si>
    <t>Önk.funkcióra nem sorolható bev.áh.kívülről</t>
  </si>
  <si>
    <t>Forgatási és bef. célú finanszírozási műv.</t>
  </si>
  <si>
    <t xml:space="preserve">  -könyvtár érdekeltségnövelő támogatás</t>
  </si>
  <si>
    <t>016020</t>
  </si>
  <si>
    <t>Országos és helyi népszavazással kapcs.tev.</t>
  </si>
  <si>
    <t>082042</t>
  </si>
  <si>
    <t>Könyvtári állomány gyarapítása, nyilvántartása</t>
  </si>
  <si>
    <t xml:space="preserve">  -rászoruló gyerm. Szünidei étkeztetése</t>
  </si>
  <si>
    <t xml:space="preserve"> Polgárőrség működési támogatás</t>
  </si>
  <si>
    <t>Sport park kialakítása</t>
  </si>
  <si>
    <t xml:space="preserve"> Pest m. Rendőrkapitányság: Kocsis Ferenc üzemanyag,alkt.</t>
  </si>
  <si>
    <t xml:space="preserve">Költségvetési bevételek </t>
  </si>
  <si>
    <t>Költségvetési bevételek irányító szervi támogatással korrigált összege</t>
  </si>
  <si>
    <t>Költségvetési kiadások</t>
  </si>
  <si>
    <t>Költségvetési kiadások irányító szervi támogatással korrigált összege</t>
  </si>
  <si>
    <r>
      <t xml:space="preserve">   </t>
    </r>
    <r>
      <rPr>
        <sz val="12"/>
        <rFont val="MS Sans Serif"/>
        <family val="2"/>
        <charset val="238"/>
      </rPr>
      <t>Bugyi SE. TAO pályázat önrész:</t>
    </r>
  </si>
  <si>
    <t>labdarúgás</t>
  </si>
  <si>
    <t>kézilabda</t>
  </si>
  <si>
    <t>kisértékű egyéb tárgyi eszközök</t>
  </si>
  <si>
    <t>018020</t>
  </si>
  <si>
    <t>Központi költségvetési bevételek</t>
  </si>
  <si>
    <t>104052</t>
  </si>
  <si>
    <t>Családtámogatások</t>
  </si>
  <si>
    <t>önkormányzat egyéb  kisértékű tárgyi eszközök</t>
  </si>
  <si>
    <t>védőnők egyéb kisértékű tárgyi eszközök</t>
  </si>
  <si>
    <t>Ön-ki vagyonnal való gazdálkodás</t>
  </si>
  <si>
    <t>VP6-7.2.1-7.4.1.2-16 (külterületi utak) pályázat támogatás</t>
  </si>
  <si>
    <t>01224/1,2.hrsz.(Vásár tér) értékesítése</t>
  </si>
  <si>
    <t>2201. hrsz.(Sári út) terület értékesítése</t>
  </si>
  <si>
    <t>2020. év</t>
  </si>
  <si>
    <t>Arany J. kerékpárút építése</t>
  </si>
  <si>
    <t>Mindösszesen:</t>
  </si>
  <si>
    <t>Önerő összege</t>
  </si>
  <si>
    <t>Támogatás összege</t>
  </si>
  <si>
    <t>Várható összes kiadás</t>
  </si>
  <si>
    <t>Zöldterület kezelés</t>
  </si>
  <si>
    <t>2020.</t>
  </si>
  <si>
    <t>Önkormányzati költségvetési hiány/többlet:</t>
  </si>
  <si>
    <t xml:space="preserve"> Koi Kyokosin Karate Klub működési támogatás</t>
  </si>
  <si>
    <t>01279/1,2 hrsz-ú út szilárd burkolattal tört.felújítása (VP6-7.2.1-7.4.1.2-16 pály.</t>
  </si>
  <si>
    <t>Értékpapír vásárlás</t>
  </si>
  <si>
    <t>2021. év</t>
  </si>
  <si>
    <t>Bugyi Nagyközség Önkormányzat által irányított költségvetési szervek által foglalkoztatott közfoglalkoztatottak 2018. évi létszáma 
költségvetési szervenkénti bontással</t>
  </si>
  <si>
    <t>adatok forintban</t>
  </si>
  <si>
    <t>Önkormányzat költségvetési évet követő három év tervezett költségvetési bevételi és költségvetési kiadási előirányzatai ( adatok Ft-ban)</t>
  </si>
  <si>
    <t>kisértékű tárgyi eszközök hivatal</t>
  </si>
  <si>
    <t>36. hrsz.(Ürbői út 8.) értékesítése</t>
  </si>
  <si>
    <t>Finanszírozási bevétel értékpapírból</t>
  </si>
  <si>
    <t>Polgármesteri Hivatal településképet meghat. felújítása</t>
  </si>
  <si>
    <t>Református Egyház tetőfelújításra átadott vfiz. köt. támogatása</t>
  </si>
  <si>
    <t>Bugyi Sportegyesület Sportcsarnok építésére vfiz. köt.átadott támogatás</t>
  </si>
  <si>
    <t>Egyéb szárazföldi személyszállítás</t>
  </si>
  <si>
    <t xml:space="preserve"> -közszférában fogl.2017.évi bérkompenzációja</t>
  </si>
  <si>
    <t>Visszafizetési kötelezettséggel átadott felhalmozási célú támogatások</t>
  </si>
  <si>
    <t>Református Egyház iskola tetőfelújításra átadott támogatás</t>
  </si>
  <si>
    <t>4 db várótermi szék</t>
  </si>
  <si>
    <t>egyéb kisértékű eszközök</t>
  </si>
  <si>
    <t>raktárépületek építése</t>
  </si>
  <si>
    <t>Sportcsarnok előtti tér kertépítés, kivitelezés</t>
  </si>
  <si>
    <t>Bugyi 01601/10,12.hrsz erdőtelepítés /2018.évi rész/</t>
  </si>
  <si>
    <t>elkerülő út II.szakasz új tervek elkészítése végszámla</t>
  </si>
  <si>
    <t>Polgármesteri hivatal nagykapu cseréje, elektromos nyitórendszerének kialakítása</t>
  </si>
  <si>
    <t>hangszerbeszerzés</t>
  </si>
  <si>
    <t xml:space="preserve"> -fektetővásznak</t>
  </si>
  <si>
    <t>Borzasi Kápolna felújítása</t>
  </si>
  <si>
    <t>104031</t>
  </si>
  <si>
    <t>Gyermekek bölcsödei ellátása</t>
  </si>
  <si>
    <t>Vállalkozói park kialakítása (PM_VALLPARK_2017.)</t>
  </si>
  <si>
    <t xml:space="preserve"> Rákóczi Szövetség működési támogatás</t>
  </si>
  <si>
    <t xml:space="preserve"> Délegyházi Önkéntes Tűzoltóság támogatás</t>
  </si>
  <si>
    <t>tűzbiztos páncélszekrény</t>
  </si>
  <si>
    <t xml:space="preserve">                           a helyi adóból és a települési adóból származó bevétel,</t>
  </si>
  <si>
    <t>2021.</t>
  </si>
  <si>
    <t>Működési célra átvett pénze.</t>
  </si>
  <si>
    <t xml:space="preserve">  Bugyi SE  Sportcsarnok működéséhez támogatás</t>
  </si>
  <si>
    <t xml:space="preserve">                           a helyi adóból és települési adóból származó bevétel,</t>
  </si>
  <si>
    <t xml:space="preserve">                          a kezesség-, ill. a garanciavállalással kapcsolatos megtérülés.</t>
  </si>
  <si>
    <t xml:space="preserve"> Ócsai Önkéntes Tűzoltóság támogatás</t>
  </si>
  <si>
    <t>Bugyi Nagyközség Önkormányzatának és az általa irányított költségvetési szervek 2019. évi költségvetési bevételei és költségvetési kiadásai (adatok forintban)</t>
  </si>
  <si>
    <t>Bugyi Nagyközség Önkormányzatának 2019. évi összesített kötelező, önként vállalt és államigazgatási 
feladatok költségvetési bevételek és kiadások részletezése (adatok forintban)</t>
  </si>
  <si>
    <t>Bugyi Nagyközség Önkormányzatának 2019. évi összesített költségvetési mérlege
 (adatok forintban)</t>
  </si>
  <si>
    <t>Bugyi Nagyközség Önkormányzat és az általa irányított költségvetési szervek 2019. évi öszesített költségvetésének előirányzat-felhasználási  ütemterve (adatok forintban)</t>
  </si>
  <si>
    <t>Bugyi Nagyközség Önkormányzatának 2019. évi költségvetési bevételei (adatok forintban)</t>
  </si>
  <si>
    <t>Bugyi Nagyközség Önkormányzatának 2019. évi  költségvetési bevételeinek részletezése (adatok forintban)</t>
  </si>
  <si>
    <t>Bugyi Nagyközség Önkormányzat 2019. évi költségvetési támogatásának kimutatása (adatok forintban)</t>
  </si>
  <si>
    <t>Bugyi Nagyközség Önkormányzatának 2019. évi költségvetési kiadásai (adatok forintban)</t>
  </si>
  <si>
    <t xml:space="preserve"> Bugyi Nagyközség Önkormányzat 2019. évi beruházási és felújítási kiadásai (adatok forintban)</t>
  </si>
  <si>
    <t>Bugyi Nagyközség Önkormányzat 2019. évi átadott pénzeszközei, működési célú kiadásai, támogatásai (adatok forintban)</t>
  </si>
  <si>
    <t>Bugyi Nagyközség Önkormányzatának 2019. évi kötelező, önként vállalt és államigazgatási 
feladatok költségvetési bevételeinek és költségvetési kiadásainak részletezése (adatok forintban)</t>
  </si>
  <si>
    <t>Bugyi Nagyközségi Önkormányzat működési és felhalmozási célú bevételek és kiadások előirányzata 2019. évben (adatok forintban)</t>
  </si>
  <si>
    <t>Bugyi Nagyközség Önkormányzatának 2019. évi közvetett támogatásai (adatok forintban)</t>
  </si>
  <si>
    <t>Bugyi Nagyközség Önkormányzat 2019. évi költségvetésének  több éves kihatással járó kiadásainak részletezése                      (adatok forintban)</t>
  </si>
  <si>
    <t>2022. év</t>
  </si>
  <si>
    <t>Bugyi Nagyközség Önkormányzat és az általa irányított költségvetési szervek 2019. évi létszámkerete költségvetési szervenkénti bontással</t>
  </si>
  <si>
    <t>Bugyi Nagyközségi Polgármesteri Hivatal 2019. évi  költségvetési bevételeinek és költségvetési kiadásainak részletezése (adatok forintban)</t>
  </si>
  <si>
    <t>Bugyi Nagyközségi Polgármesteri Hivatal 2019. évi  kötelező, önként vállalt és államigazgatási költségvetési bevételeinek és költségvetési kiadásainak részletezése (adatok forintban)</t>
  </si>
  <si>
    <t xml:space="preserve"> Bugyi Nagyközségi Polgármesteri Hivatal 2019. évi beruházási és felújítási kiadásai (adatok forintban)</t>
  </si>
  <si>
    <t>Bugyi Nagyközségi Napköziotthonos Óvoda 2019. évi  költségvetési bevételeinek és költségvetési kiadásainak részletezése (adatok forintban)</t>
  </si>
  <si>
    <t>Bugyi Nagyközségi Napköziotthonos Óvoda 2019. évi  kötelező, önként vállalt és államigazgatási feladataihoz kapcsolódó költségvetési bevételeinek és költségvetési kiadásainak részletezése (adatok forintban)</t>
  </si>
  <si>
    <t xml:space="preserve"> Napköziotthonos Óvoda 2019. évi beruházási és felújítási kiadásai (adatok forintban)</t>
  </si>
  <si>
    <t>Bessenyei György Művelődési Ház és Könyvtár "IKSZT"
 2019. évi  költségvetési bevételeinek és költségvetési kiadásainak részletezése (adatok forintban)</t>
  </si>
  <si>
    <t>Bessenyei György Művelődési Ház és Könyvtár "IKSZT"
 2019. évi  kötelező, önként vállalt és államigazgatási feladatokhoz kapcsolódó költségvetési bevételeinek és költségvetési kiadásainak részletezése (adatok forintban)</t>
  </si>
  <si>
    <t xml:space="preserve"> Bessenyei György Művelődési Ház és Könyvtár 2019. évi beruházási és felújítási kiadásai (adatok forintban)</t>
  </si>
  <si>
    <t>Településfejlesztési-ellátási és Üzemeltetési Szerv 2019. évi költségvetési bevételeinek és költségvetési kiadásainak részletezése (adatok forintban)</t>
  </si>
  <si>
    <t>Településfejlesztési-ellátási és Üzemeltetési Szerv 2019 évi  kötelező, önként vállalt és államigazgatási feladatok költségvetési bevételeinek és költségvetési kiadásainak részletezése (adatok forintban)</t>
  </si>
  <si>
    <t xml:space="preserve"> Településfejlesztési-ellátási és Üzemeltetési Szerv 2019. évi beruházási és felújítási kiadásai (adatok forintban)</t>
  </si>
  <si>
    <t>Bugyi Nagyközség Önkormányzat és az általa irányított költségvetési szervek 2019. évi költségvetésének előirányzat-felhasználási  ütemterve (adatok forintban)</t>
  </si>
  <si>
    <t>Bugyi Nagyközség Önkormányzatának 2019. évi költségvetési mérlege
 (adatok forintban)</t>
  </si>
  <si>
    <t>2022.</t>
  </si>
  <si>
    <t>Bugyi Nagyközség Önkormányzat 2019. évi  céltartalékainak és kapcsolódó bevételeinek részletezése (adatok forintban)</t>
  </si>
  <si>
    <t>Belterületi utak felújítása(Ady E. és Erzsébet kirné u.)</t>
  </si>
  <si>
    <t>Illegális hulladéklerakó felszámolása</t>
  </si>
  <si>
    <t>régi épületrész vizesblokk felújítás</t>
  </si>
  <si>
    <t>.-Napraforgó Óvoda Hóvirág csoport bútor csere</t>
  </si>
  <si>
    <t>Katica Óvoda hintaállvány</t>
  </si>
  <si>
    <t>Napraforgó Óvoda hátsó udvarára könyökkaros napellenző</t>
  </si>
  <si>
    <t>Napraforgó Óvoda új  homokozó telepítése</t>
  </si>
  <si>
    <t>Bóbita Óvoda csoportszoba ablakokra redőny</t>
  </si>
  <si>
    <t>.-Bóbita Óvoda hűtő csere</t>
  </si>
  <si>
    <t>.-Bóbita Óvoda Micimackó csoport szőnyeg csere</t>
  </si>
  <si>
    <t>Stihl benzinmotoros kasza 2 db</t>
  </si>
  <si>
    <t>Kazinczy Iskolában udvari játékok felújítása</t>
  </si>
  <si>
    <t>elkerülő út II.szakasz kivitelezéséhez 10 ha erdőterület
 megvásárlása, csereerdősítés</t>
  </si>
  <si>
    <t>Béke köz csatornázása és aszfaltozása</t>
  </si>
  <si>
    <t>Hivatal udvarába virágládák vásárlása</t>
  </si>
  <si>
    <t>Polgármesteri hivatal előtti tér rendezése</t>
  </si>
  <si>
    <t>Zászlótartók vásárlása</t>
  </si>
  <si>
    <t>parkokba padok beszerzése</t>
  </si>
  <si>
    <t>Belterületi utak felújítása (Ady és Erzsébet kirné u.)</t>
  </si>
  <si>
    <t>Közművelődési érdekeltségnövelő támogatás</t>
  </si>
  <si>
    <t>Napköziotthonos Konyha légtechnika szerelés</t>
  </si>
  <si>
    <t>2019. évi béremelés bruttó bér és szociális hozzájárulás</t>
  </si>
  <si>
    <t xml:space="preserve">Vállalkozói park kialakítása </t>
  </si>
  <si>
    <t>Uszoda engedélyes terv fennmaradó díja és kiviteli terv</t>
  </si>
  <si>
    <t>Teleki u. 76. elbontása és kerítés építése</t>
  </si>
  <si>
    <t>Iskola parkoló világítás</t>
  </si>
  <si>
    <t>Puskás T. u. orvosi rendelő felújítása</t>
  </si>
  <si>
    <t>70B1 erdő csereerdősítés költsége 1,35 ha</t>
  </si>
  <si>
    <t>Polgármesteri Hivatal udvar rendezése</t>
  </si>
  <si>
    <t>ABC és sportcsarnok parkoló kialakítás</t>
  </si>
  <si>
    <t xml:space="preserve">Kézilabdacsarnok akusztika </t>
  </si>
  <si>
    <t>.-Napraforgó Óvodában mosógép csere</t>
  </si>
  <si>
    <t>40 db építési telek értékesítése</t>
  </si>
  <si>
    <t xml:space="preserve"> 2019. évi szolidaritási hozzájárulás</t>
  </si>
  <si>
    <t>Főtér/hivatal épület kamera felszerelések</t>
  </si>
  <si>
    <t>Bölcsöde épület + bútor</t>
  </si>
  <si>
    <t xml:space="preserve"> Pest m. Rendőrkapitányság: Laza Anita lakhatási tám</t>
  </si>
  <si>
    <t>orvosi ügyelet kazán</t>
  </si>
  <si>
    <t>mezőőri szolgálat 4 db kereső távcső</t>
  </si>
  <si>
    <t>irodabútorok, tanácsterem bútorok</t>
  </si>
  <si>
    <t xml:space="preserve">  Református Egyház gázterv támogatás </t>
  </si>
  <si>
    <t xml:space="preserve">  Péter Cerny Alapítvány támogatása</t>
  </si>
  <si>
    <t xml:space="preserve">  Dabas Tűzoltóság eszköz vás</t>
  </si>
  <si>
    <t>Üzemanyagszintmérő és GPS modul</t>
  </si>
  <si>
    <t>Ürbői utca felújítása</t>
  </si>
  <si>
    <t>Új telkek közművesítése (áram, gáz, útalap)</t>
  </si>
  <si>
    <t>Irinyi J. utca kialakítása (közmű, útalap)</t>
  </si>
  <si>
    <t>Emberi Erőforrások Minisztériuma Bursa tám</t>
  </si>
  <si>
    <t>nagyterem régi bejárati ajtó csere</t>
  </si>
  <si>
    <t>nagyterem 1 db új ajtó beépítés</t>
  </si>
  <si>
    <t>Új utca kétoldali kerékpársáv építés</t>
  </si>
  <si>
    <t>terület vásárlás uszoda építéshez (Tóth K, Mata)</t>
  </si>
  <si>
    <t>Nemzetközi tám</t>
  </si>
  <si>
    <t>A Stabilitási törvény 45. § (1) bekezdése alapján kiadott felhatalmazás szerint a 353/2011. (XII.30.) korm rendelet szerinti 
saját bevétel 50%a : 386 019 500</t>
  </si>
  <si>
    <t>adatok Ft-ban</t>
  </si>
  <si>
    <r>
      <t>.-</t>
    </r>
    <r>
      <rPr>
        <sz val="10"/>
        <rFont val="Calibri"/>
        <family val="2"/>
        <charset val="238"/>
      </rPr>
      <t>Napraforgó Óvoda Napraforgó csoport polcos szekrény</t>
    </r>
  </si>
  <si>
    <t>fellépő ruhák, oktatást, működést segítő eszközök</t>
  </si>
  <si>
    <t>057/5 hrsz-ú terület értékesítése</t>
  </si>
  <si>
    <t xml:space="preserve">  Bugyi SE túraszakosztály támogatása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</si>
</sst>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#,##0\ &quot;Ft&quot;;[Red]\-#,##0\ &quot;Ft&quot;"/>
    <numFmt numFmtId="42" formatCode="_-* #,##0\ &quot;Ft&quot;_-;\-* #,##0\ &quot;Ft&quot;_-;_-* &quot;-&quot;\ &quot;Ft&quot;_-;_-@_-"/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4" formatCode="_-* #,##0\ &quot;Ft&quot;_-;\-* #,##0\ &quot;Ft&quot;_-;_-* &quot;-&quot;??\ &quot;Ft&quot;_-;_-@_-"/>
    <numFmt numFmtId="165" formatCode="#,##0\ &quot;Ft&quot;"/>
    <numFmt numFmtId="166" formatCode="#,##0\ _F_t"/>
    <numFmt numFmtId="167" formatCode="_-* #,##0\ _F_t_-;\-* #,##0\ _F_t_-;_-* &quot;-&quot;??\ _F_t_-;_-@_-"/>
  </numFmts>
  <fonts count="142" x14ac:knownFonts="1">
    <font>
      <sz val="10"/>
      <name val="MS Sans Serif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sz val="8"/>
      <name val="MS Sans Serif"/>
      <family val="2"/>
      <charset val="238"/>
    </font>
    <font>
      <sz val="12"/>
      <name val="MS Sans Serif"/>
      <family val="2"/>
      <charset val="238"/>
    </font>
    <font>
      <b/>
      <sz val="12"/>
      <name val="MS Sans Serif"/>
      <family val="2"/>
      <charset val="238"/>
    </font>
    <font>
      <b/>
      <sz val="14"/>
      <name val="MS Sans Serif"/>
      <family val="2"/>
      <charset val="238"/>
    </font>
    <font>
      <b/>
      <sz val="10"/>
      <name val="MS Sans Serif"/>
      <family val="2"/>
      <charset val="238"/>
    </font>
    <font>
      <sz val="10"/>
      <name val="MS Sans Serif"/>
      <family val="2"/>
      <charset val="238"/>
    </font>
    <font>
      <b/>
      <sz val="12"/>
      <name val="MS Sans Serif"/>
      <family val="2"/>
      <charset val="238"/>
    </font>
    <font>
      <sz val="8"/>
      <name val="Times New Roman"/>
      <family val="1"/>
    </font>
    <font>
      <b/>
      <sz val="12"/>
      <name val="MS Sans Serif"/>
      <family val="2"/>
    </font>
    <font>
      <sz val="12"/>
      <name val="MS Sans Serif"/>
      <family val="2"/>
    </font>
    <font>
      <sz val="9"/>
      <name val="MS Sans Serif"/>
      <family val="2"/>
    </font>
    <font>
      <b/>
      <sz val="9"/>
      <name val="MS Sans Serif"/>
      <family val="2"/>
    </font>
    <font>
      <sz val="8.5"/>
      <name val="MS Sans Serif"/>
      <family val="2"/>
    </font>
    <font>
      <sz val="10"/>
      <name val="MS Sans Serif"/>
      <family val="2"/>
    </font>
    <font>
      <b/>
      <i/>
      <sz val="12"/>
      <name val="MS Sans Serif"/>
      <family val="2"/>
    </font>
    <font>
      <i/>
      <sz val="12"/>
      <name val="MS Sans Serif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b/>
      <sz val="10"/>
      <name val="Arial"/>
      <family val="2"/>
      <charset val="238"/>
    </font>
    <font>
      <b/>
      <sz val="10"/>
      <color indexed="8"/>
      <name val="Arial CE"/>
    </font>
    <font>
      <sz val="10"/>
      <name val="Arial"/>
      <family val="2"/>
      <charset val="238"/>
    </font>
    <font>
      <b/>
      <u/>
      <sz val="10"/>
      <color indexed="8"/>
      <name val="Arial CE"/>
      <family val="2"/>
    </font>
    <font>
      <u/>
      <sz val="10"/>
      <color indexed="8"/>
      <name val="Arial CE"/>
      <family val="2"/>
    </font>
    <font>
      <b/>
      <sz val="8"/>
      <color indexed="8"/>
      <name val="Arial CE"/>
    </font>
    <font>
      <sz val="8"/>
      <color indexed="8"/>
      <name val="Arial CE"/>
    </font>
    <font>
      <sz val="10"/>
      <color indexed="8"/>
      <name val="Arial CE"/>
      <family val="2"/>
    </font>
    <font>
      <b/>
      <sz val="8"/>
      <color indexed="8"/>
      <name val="Arial CE"/>
      <charset val="238"/>
    </font>
    <font>
      <sz val="9"/>
      <color indexed="8"/>
      <name val="Arial CE"/>
      <family val="2"/>
    </font>
    <font>
      <sz val="8"/>
      <color indexed="8"/>
      <name val="Arial CE"/>
      <family val="2"/>
    </font>
    <font>
      <sz val="10"/>
      <name val="Arial"/>
      <family val="2"/>
      <charset val="238"/>
    </font>
    <font>
      <b/>
      <sz val="10"/>
      <color indexed="8"/>
      <name val="Arial CE"/>
      <family val="2"/>
    </font>
    <font>
      <b/>
      <sz val="8"/>
      <color indexed="8"/>
      <name val="Arial CE"/>
      <family val="2"/>
    </font>
    <font>
      <sz val="12"/>
      <name val="MS Sans Serif"/>
      <family val="2"/>
      <charset val="238"/>
    </font>
    <font>
      <sz val="11"/>
      <name val="MS Sans Serif"/>
      <family val="2"/>
      <charset val="238"/>
    </font>
    <font>
      <b/>
      <sz val="12"/>
      <name val="Times New Roman"/>
      <family val="1"/>
      <charset val="238"/>
    </font>
    <font>
      <b/>
      <sz val="9"/>
      <name val="MS Sans Serif"/>
      <family val="2"/>
      <charset val="238"/>
    </font>
    <font>
      <sz val="7"/>
      <name val="MS Sans Serif"/>
      <family val="2"/>
    </font>
    <font>
      <b/>
      <sz val="7"/>
      <name val="MS Sans Serif"/>
      <family val="2"/>
    </font>
    <font>
      <sz val="7"/>
      <color indexed="8"/>
      <name val="MS Sans Serif"/>
      <family val="2"/>
    </font>
    <font>
      <sz val="7"/>
      <name val="MS Sans Serif"/>
      <family val="2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9"/>
      <name val="MS Sans Serif"/>
      <family val="2"/>
      <charset val="238"/>
    </font>
    <font>
      <b/>
      <u/>
      <sz val="10"/>
      <name val="MS Sans Serif"/>
      <family val="2"/>
      <charset val="238"/>
    </font>
    <font>
      <b/>
      <sz val="7"/>
      <name val="MS Sans Serif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b/>
      <sz val="12"/>
      <name val="Calibri"/>
      <family val="2"/>
      <charset val="238"/>
    </font>
    <font>
      <sz val="8"/>
      <name val="Calibri"/>
      <family val="2"/>
      <charset val="238"/>
    </font>
    <font>
      <sz val="12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0"/>
      <name val="Helvetica"/>
      <family val="2"/>
    </font>
    <font>
      <sz val="12"/>
      <name val="Helvetica"/>
      <family val="2"/>
    </font>
    <font>
      <b/>
      <sz val="12"/>
      <name val="Helvetica"/>
      <family val="2"/>
    </font>
    <font>
      <b/>
      <sz val="10"/>
      <name val="Helvetica"/>
      <family val="2"/>
    </font>
    <font>
      <b/>
      <sz val="14"/>
      <name val="Helvetica"/>
      <family val="2"/>
    </font>
    <font>
      <sz val="14"/>
      <name val="Helvetica"/>
      <family val="2"/>
    </font>
    <font>
      <sz val="11"/>
      <name val="Helvetica"/>
      <family val="2"/>
    </font>
    <font>
      <i/>
      <sz val="14"/>
      <name val="Helvetica"/>
      <family val="2"/>
    </font>
    <font>
      <sz val="7"/>
      <name val="MS Sans Serif"/>
      <family val="2"/>
      <charset val="238"/>
    </font>
    <font>
      <b/>
      <sz val="6"/>
      <name val="MS Sans Serif"/>
      <family val="2"/>
    </font>
    <font>
      <b/>
      <sz val="11"/>
      <name val="Arial"/>
      <family val="2"/>
      <charset val="238"/>
    </font>
    <font>
      <sz val="8.5"/>
      <name val="MS Sans Serif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u/>
      <sz val="10"/>
      <name val="MS Sans Serif"/>
      <family val="2"/>
      <charset val="238"/>
    </font>
    <font>
      <b/>
      <sz val="10"/>
      <name val="Helvetica"/>
      <charset val="238"/>
    </font>
    <font>
      <b/>
      <sz val="7"/>
      <color indexed="8"/>
      <name val="MS Sans Serif"/>
      <family val="2"/>
      <charset val="238"/>
    </font>
    <font>
      <b/>
      <sz val="12"/>
      <name val="Helvetica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MS Sans Serif"/>
      <family val="2"/>
    </font>
    <font>
      <sz val="10"/>
      <name val="Helvetica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1"/>
      <name val="Helvetica"/>
      <charset val="238"/>
    </font>
    <font>
      <sz val="10"/>
      <color theme="0"/>
      <name val="Calibri"/>
      <family val="2"/>
      <charset val="238"/>
    </font>
    <font>
      <sz val="10"/>
      <color theme="0"/>
      <name val="MS Sans Serif"/>
      <charset val="238"/>
    </font>
    <font>
      <sz val="10"/>
      <color theme="0"/>
      <name val="Calibri"/>
      <family val="2"/>
      <charset val="238"/>
      <scheme val="minor"/>
    </font>
    <font>
      <sz val="7"/>
      <color theme="0"/>
      <name val="MS Sans Serif"/>
      <family val="2"/>
    </font>
    <font>
      <b/>
      <sz val="7"/>
      <color theme="0"/>
      <name val="MS Sans Serif"/>
      <family val="2"/>
    </font>
    <font>
      <b/>
      <sz val="10"/>
      <color theme="0"/>
      <name val="Calibri"/>
      <family val="2"/>
      <charset val="238"/>
      <scheme val="minor"/>
    </font>
    <font>
      <sz val="7"/>
      <color theme="0"/>
      <name val="MS Sans Serif"/>
      <family val="2"/>
      <charset val="238"/>
    </font>
    <font>
      <sz val="10"/>
      <color theme="0"/>
      <name val="MS Sans Serif"/>
      <family val="2"/>
      <charset val="238"/>
    </font>
    <font>
      <b/>
      <sz val="12"/>
      <color theme="0"/>
      <name val="MS Sans Serif"/>
      <family val="2"/>
      <charset val="238"/>
    </font>
    <font>
      <sz val="10"/>
      <color theme="0"/>
      <name val="MS Sans Serif"/>
      <family val="2"/>
    </font>
    <font>
      <b/>
      <sz val="10"/>
      <color theme="0"/>
      <name val="MS Sans Serif"/>
      <family val="2"/>
    </font>
    <font>
      <b/>
      <sz val="7"/>
      <color theme="0"/>
      <name val="MS Sans Serif"/>
      <family val="2"/>
      <charset val="238"/>
    </font>
    <font>
      <sz val="8.5"/>
      <color theme="0"/>
      <name val="MS Sans Serif"/>
      <family val="2"/>
    </font>
    <font>
      <b/>
      <sz val="10"/>
      <color theme="0"/>
      <name val="MS Sans Serif"/>
      <family val="2"/>
      <charset val="238"/>
    </font>
    <font>
      <b/>
      <i/>
      <sz val="12"/>
      <color theme="0"/>
      <name val="MS Sans Serif"/>
      <family val="2"/>
    </font>
    <font>
      <b/>
      <sz val="12"/>
      <color theme="0"/>
      <name val="Calibri"/>
      <family val="2"/>
      <charset val="238"/>
    </font>
    <font>
      <sz val="12"/>
      <color theme="0"/>
      <name val="Calibri"/>
      <family val="2"/>
      <charset val="238"/>
    </font>
    <font>
      <i/>
      <sz val="12"/>
      <color theme="0"/>
      <name val="MS Sans Serif"/>
      <family val="2"/>
    </font>
    <font>
      <sz val="7"/>
      <color theme="1"/>
      <name val="MS Sans Serif"/>
      <family val="2"/>
    </font>
    <font>
      <b/>
      <sz val="7"/>
      <color theme="1"/>
      <name val="MS Sans Serif"/>
      <family val="2"/>
    </font>
    <font>
      <u/>
      <sz val="7"/>
      <color theme="1"/>
      <name val="MS Sans Serif"/>
      <family val="2"/>
    </font>
    <font>
      <b/>
      <u/>
      <sz val="7"/>
      <color theme="1"/>
      <name val="MS Sans Serif"/>
      <family val="2"/>
    </font>
    <font>
      <sz val="7"/>
      <color theme="1"/>
      <name val="MS Sans Serif"/>
      <family val="2"/>
      <charset val="238"/>
    </font>
    <font>
      <sz val="12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sz val="6"/>
      <name val="Calibri"/>
      <family val="2"/>
      <charset val="238"/>
      <scheme val="minor"/>
    </font>
    <font>
      <sz val="6"/>
      <color theme="0"/>
      <name val="Calibri"/>
      <family val="2"/>
      <charset val="238"/>
      <scheme val="minor"/>
    </font>
    <font>
      <b/>
      <sz val="6"/>
      <name val="Calibri"/>
      <family val="2"/>
      <charset val="238"/>
      <scheme val="minor"/>
    </font>
    <font>
      <b/>
      <sz val="6"/>
      <color theme="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0"/>
      <color theme="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  <font>
      <b/>
      <sz val="7"/>
      <color theme="1"/>
      <name val="MS Sans Serif"/>
      <family val="2"/>
      <charset val="238"/>
    </font>
    <font>
      <sz val="8"/>
      <name val="Helvetica"/>
      <charset val="238"/>
    </font>
    <font>
      <sz val="12"/>
      <color theme="0"/>
      <name val="MS Sans Serif"/>
      <family val="2"/>
      <charset val="238"/>
    </font>
    <font>
      <b/>
      <sz val="7"/>
      <name val="MS Sans Serif"/>
    </font>
    <font>
      <sz val="7"/>
      <name val="MS Sans Serif"/>
    </font>
    <font>
      <sz val="10"/>
      <name val="MS Sans Serif"/>
    </font>
    <font>
      <b/>
      <sz val="12"/>
      <name val="MS Sans Serif"/>
      <charset val="238"/>
    </font>
    <font>
      <b/>
      <sz val="10"/>
      <name val="MS Sans Serif"/>
      <charset val="238"/>
    </font>
    <font>
      <b/>
      <sz val="12"/>
      <name val="MS Sans Serif"/>
    </font>
    <font>
      <u/>
      <sz val="7"/>
      <name val="MS Sans Serif"/>
    </font>
    <font>
      <b/>
      <u/>
      <sz val="7"/>
      <name val="MS Sans Serif"/>
    </font>
    <font>
      <u/>
      <sz val="10"/>
      <name val="MS Sans Serif"/>
    </font>
    <font>
      <b/>
      <sz val="10"/>
      <name val="MS Sans Serif"/>
    </font>
    <font>
      <b/>
      <sz val="8.5"/>
      <name val="MS Sans Serif"/>
    </font>
    <font>
      <b/>
      <sz val="7"/>
      <name val="MS Sans Serif"/>
      <charset val="238"/>
    </font>
    <font>
      <b/>
      <sz val="6"/>
      <name val="MS Sans Serif"/>
      <family val="2"/>
      <charset val="238"/>
    </font>
    <font>
      <sz val="9"/>
      <color indexed="8"/>
      <name val="Arial CE"/>
      <charset val="238"/>
    </font>
    <font>
      <sz val="10"/>
      <color rgb="FFFF0000"/>
      <name val="MS Sans Serif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6"/>
      <name val="MS Sans Serif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23" fillId="0" borderId="0"/>
    <xf numFmtId="0" fontId="10" fillId="0" borderId="0"/>
    <xf numFmtId="44" fontId="2" fillId="0" borderId="0" applyNumberFormat="0" applyFont="0" applyFill="0" applyBorder="0" applyAlignment="0" applyProtection="0"/>
  </cellStyleXfs>
  <cellXfs count="2665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2" xfId="0" applyBorder="1"/>
    <xf numFmtId="0" fontId="0" fillId="0" borderId="3" xfId="0" applyBorder="1"/>
    <xf numFmtId="0" fontId="12" fillId="0" borderId="0" xfId="0" applyFont="1"/>
    <xf numFmtId="0" fontId="1" fillId="0" borderId="4" xfId="0" applyFont="1" applyBorder="1"/>
    <xf numFmtId="0" fontId="0" fillId="0" borderId="4" xfId="0" applyBorder="1"/>
    <xf numFmtId="0" fontId="0" fillId="0" borderId="5" xfId="0" applyBorder="1"/>
    <xf numFmtId="0" fontId="1" fillId="0" borderId="5" xfId="0" applyFont="1" applyBorder="1"/>
    <xf numFmtId="0" fontId="13" fillId="0" borderId="0" xfId="0" applyFont="1"/>
    <xf numFmtId="0" fontId="15" fillId="0" borderId="0" xfId="0" applyFont="1"/>
    <xf numFmtId="165" fontId="1" fillId="0" borderId="0" xfId="0" applyNumberFormat="1" applyFont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/>
    <xf numFmtId="0" fontId="17" fillId="0" borderId="0" xfId="0" applyFont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16" fillId="0" borderId="0" xfId="0" applyFont="1"/>
    <xf numFmtId="0" fontId="16" fillId="2" borderId="0" xfId="0" applyFont="1" applyFill="1"/>
    <xf numFmtId="0" fontId="6" fillId="0" borderId="0" xfId="0" applyFont="1" applyAlignment="1">
      <alignment horizontal="left"/>
    </xf>
    <xf numFmtId="42" fontId="20" fillId="0" borderId="0" xfId="0" applyNumberFormat="1" applyFont="1"/>
    <xf numFmtId="0" fontId="19" fillId="0" borderId="0" xfId="0" applyFont="1"/>
    <xf numFmtId="0" fontId="11" fillId="0" borderId="0" xfId="0" applyFont="1"/>
    <xf numFmtId="0" fontId="9" fillId="0" borderId="0" xfId="0" applyFont="1"/>
    <xf numFmtId="1" fontId="26" fillId="0" borderId="8" xfId="3" applyNumberFormat="1" applyFont="1" applyBorder="1"/>
    <xf numFmtId="1" fontId="26" fillId="0" borderId="9" xfId="3" applyNumberFormat="1" applyFont="1" applyBorder="1"/>
    <xf numFmtId="1" fontId="29" fillId="0" borderId="9" xfId="3" applyNumberFormat="1" applyFont="1" applyBorder="1"/>
    <xf numFmtId="1" fontId="26" fillId="0" borderId="10" xfId="3" applyNumberFormat="1" applyFont="1" applyBorder="1"/>
    <xf numFmtId="1" fontId="26" fillId="0" borderId="11" xfId="3" applyNumberFormat="1" applyFont="1" applyBorder="1"/>
    <xf numFmtId="1" fontId="27" fillId="0" borderId="12" xfId="3" applyNumberFormat="1" applyFont="1" applyBorder="1"/>
    <xf numFmtId="1" fontId="27" fillId="0" borderId="13" xfId="3" applyNumberFormat="1" applyFont="1" applyBorder="1"/>
    <xf numFmtId="1" fontId="26" fillId="0" borderId="14" xfId="3" applyNumberFormat="1" applyFont="1" applyBorder="1"/>
    <xf numFmtId="1" fontId="27" fillId="0" borderId="5" xfId="3" applyNumberFormat="1" applyFont="1" applyBorder="1"/>
    <xf numFmtId="1" fontId="27" fillId="0" borderId="15" xfId="3" applyNumberFormat="1" applyFont="1" applyBorder="1"/>
    <xf numFmtId="1" fontId="30" fillId="0" borderId="16" xfId="3" applyNumberFormat="1" applyFont="1" applyBorder="1"/>
    <xf numFmtId="1" fontId="23" fillId="0" borderId="11" xfId="3" applyNumberFormat="1" applyBorder="1"/>
    <xf numFmtId="1" fontId="33" fillId="0" borderId="17" xfId="3" applyNumberFormat="1" applyFont="1" applyBorder="1"/>
    <xf numFmtId="1" fontId="33" fillId="0" borderId="8" xfId="3" applyNumberFormat="1" applyFont="1" applyBorder="1"/>
    <xf numFmtId="1" fontId="33" fillId="0" borderId="16" xfId="3" applyNumberFormat="1" applyFont="1" applyBorder="1"/>
    <xf numFmtId="1" fontId="28" fillId="0" borderId="16" xfId="3" applyNumberFormat="1" applyFont="1" applyBorder="1"/>
    <xf numFmtId="1" fontId="33" fillId="0" borderId="18" xfId="3" applyNumberFormat="1" applyFont="1" applyBorder="1"/>
    <xf numFmtId="1" fontId="28" fillId="0" borderId="19" xfId="3" applyNumberFormat="1" applyFont="1" applyBorder="1"/>
    <xf numFmtId="1" fontId="28" fillId="0" borderId="11" xfId="3" applyNumberFormat="1" applyFont="1" applyBorder="1"/>
    <xf numFmtId="0" fontId="0" fillId="0" borderId="16" xfId="0" applyBorder="1"/>
    <xf numFmtId="165" fontId="0" fillId="0" borderId="0" xfId="0" applyNumberFormat="1"/>
    <xf numFmtId="0" fontId="7" fillId="0" borderId="0" xfId="0" applyFont="1"/>
    <xf numFmtId="0" fontId="0" fillId="0" borderId="14" xfId="0" applyBorder="1"/>
    <xf numFmtId="0" fontId="8" fillId="0" borderId="14" xfId="0" applyFont="1" applyBorder="1" applyAlignment="1">
      <alignment wrapText="1"/>
    </xf>
    <xf numFmtId="0" fontId="8" fillId="0" borderId="0" xfId="0" applyFont="1"/>
    <xf numFmtId="165" fontId="7" fillId="0" borderId="0" xfId="0" applyNumberFormat="1" applyFont="1" applyAlignment="1">
      <alignment horizontal="left"/>
    </xf>
    <xf numFmtId="165" fontId="7" fillId="0" borderId="0" xfId="0" applyNumberFormat="1" applyFont="1"/>
    <xf numFmtId="0" fontId="0" fillId="0" borderId="0" xfId="0" applyAlignment="1">
      <alignment wrapText="1"/>
    </xf>
    <xf numFmtId="0" fontId="0" fillId="0" borderId="20" xfId="0" applyBorder="1"/>
    <xf numFmtId="0" fontId="0" fillId="0" borderId="15" xfId="0" applyBorder="1"/>
    <xf numFmtId="0" fontId="0" fillId="0" borderId="23" xfId="0" applyBorder="1"/>
    <xf numFmtId="0" fontId="0" fillId="0" borderId="12" xfId="0" applyBorder="1"/>
    <xf numFmtId="0" fontId="0" fillId="0" borderId="24" xfId="0" applyBorder="1"/>
    <xf numFmtId="0" fontId="8" fillId="0" borderId="16" xfId="0" applyFont="1" applyBorder="1" applyAlignment="1">
      <alignment wrapText="1"/>
    </xf>
    <xf numFmtId="0" fontId="8" fillId="0" borderId="4" xfId="0" applyFont="1" applyBorder="1"/>
    <xf numFmtId="0" fontId="8" fillId="0" borderId="3" xfId="0" applyFont="1" applyBorder="1"/>
    <xf numFmtId="0" fontId="0" fillId="0" borderId="27" xfId="0" applyBorder="1"/>
    <xf numFmtId="0" fontId="0" fillId="0" borderId="25" xfId="0" applyBorder="1"/>
    <xf numFmtId="0" fontId="8" fillId="0" borderId="24" xfId="0" applyFont="1" applyBorder="1" applyAlignment="1">
      <alignment wrapText="1"/>
    </xf>
    <xf numFmtId="0" fontId="0" fillId="0" borderId="11" xfId="0" applyBorder="1"/>
    <xf numFmtId="0" fontId="37" fillId="0" borderId="14" xfId="0" applyFont="1" applyBorder="1"/>
    <xf numFmtId="0" fontId="37" fillId="0" borderId="14" xfId="0" applyFont="1" applyBorder="1" applyAlignment="1">
      <alignment wrapText="1"/>
    </xf>
    <xf numFmtId="164" fontId="39" fillId="0" borderId="0" xfId="5" applyNumberFormat="1" applyFont="1" applyAlignment="1">
      <alignment horizontal="center"/>
    </xf>
    <xf numFmtId="164" fontId="40" fillId="0" borderId="4" xfId="5" applyNumberFormat="1" applyFont="1" applyBorder="1" applyAlignment="1">
      <alignment horizontal="center" vertical="center" wrapText="1"/>
    </xf>
    <xf numFmtId="0" fontId="39" fillId="0" borderId="28" xfId="0" applyFont="1" applyBorder="1" applyAlignment="1">
      <alignment wrapText="1"/>
    </xf>
    <xf numFmtId="0" fontId="43" fillId="0" borderId="0" xfId="0" applyFont="1"/>
    <xf numFmtId="0" fontId="36" fillId="0" borderId="0" xfId="0" applyFont="1"/>
    <xf numFmtId="0" fontId="35" fillId="0" borderId="0" xfId="0" applyFont="1"/>
    <xf numFmtId="0" fontId="44" fillId="0" borderId="0" xfId="0" applyFont="1"/>
    <xf numFmtId="0" fontId="45" fillId="0" borderId="0" xfId="0" applyFont="1"/>
    <xf numFmtId="164" fontId="0" fillId="0" borderId="0" xfId="0" applyNumberFormat="1"/>
    <xf numFmtId="166" fontId="0" fillId="0" borderId="0" xfId="0" applyNumberFormat="1"/>
    <xf numFmtId="166" fontId="2" fillId="0" borderId="2" xfId="0" applyNumberFormat="1" applyFont="1" applyBorder="1"/>
    <xf numFmtId="166" fontId="7" fillId="0" borderId="2" xfId="0" applyNumberFormat="1" applyFont="1" applyBorder="1"/>
    <xf numFmtId="166" fontId="0" fillId="0" borderId="2" xfId="0" applyNumberFormat="1" applyBorder="1"/>
    <xf numFmtId="166" fontId="7" fillId="0" borderId="0" xfId="0" applyNumberFormat="1" applyFont="1" applyAlignment="1">
      <alignment horizontal="right"/>
    </xf>
    <xf numFmtId="1" fontId="36" fillId="0" borderId="0" xfId="0" applyNumberFormat="1" applyFont="1"/>
    <xf numFmtId="0" fontId="21" fillId="0" borderId="0" xfId="0" applyFont="1" applyAlignment="1">
      <alignment horizontal="left"/>
    </xf>
    <xf numFmtId="0" fontId="40" fillId="0" borderId="4" xfId="0" applyFont="1" applyBorder="1" applyAlignment="1">
      <alignment horizontal="center" vertical="center"/>
    </xf>
    <xf numFmtId="0" fontId="50" fillId="0" borderId="0" xfId="0" applyFont="1"/>
    <xf numFmtId="0" fontId="52" fillId="0" borderId="0" xfId="0" applyFont="1"/>
    <xf numFmtId="0" fontId="51" fillId="0" borderId="30" xfId="0" applyFont="1" applyBorder="1"/>
    <xf numFmtId="0" fontId="49" fillId="0" borderId="0" xfId="0" applyFont="1"/>
    <xf numFmtId="42" fontId="49" fillId="0" borderId="0" xfId="0" applyNumberFormat="1" applyFont="1"/>
    <xf numFmtId="0" fontId="51" fillId="0" borderId="0" xfId="0" applyFont="1"/>
    <xf numFmtId="0" fontId="53" fillId="0" borderId="0" xfId="0" applyFont="1"/>
    <xf numFmtId="165" fontId="53" fillId="0" borderId="0" xfId="0" applyNumberFormat="1" applyFont="1"/>
    <xf numFmtId="0" fontId="51" fillId="0" borderId="31" xfId="0" applyFont="1" applyBorder="1"/>
    <xf numFmtId="0" fontId="53" fillId="0" borderId="32" xfId="0" applyFont="1" applyBorder="1"/>
    <xf numFmtId="0" fontId="53" fillId="0" borderId="31" xfId="0" applyFont="1" applyBorder="1"/>
    <xf numFmtId="42" fontId="53" fillId="0" borderId="0" xfId="0" applyNumberFormat="1" applyFont="1"/>
    <xf numFmtId="0" fontId="55" fillId="0" borderId="33" xfId="0" applyFont="1" applyBorder="1"/>
    <xf numFmtId="0" fontId="55" fillId="0" borderId="34" xfId="0" applyFont="1" applyBorder="1" applyAlignment="1">
      <alignment horizontal="center"/>
    </xf>
    <xf numFmtId="0" fontId="56" fillId="0" borderId="35" xfId="0" applyFont="1" applyBorder="1"/>
    <xf numFmtId="0" fontId="55" fillId="0" borderId="34" xfId="0" applyFont="1" applyBorder="1"/>
    <xf numFmtId="0" fontId="55" fillId="0" borderId="27" xfId="0" applyFont="1" applyBorder="1"/>
    <xf numFmtId="0" fontId="55" fillId="0" borderId="0" xfId="0" applyFont="1"/>
    <xf numFmtId="0" fontId="51" fillId="0" borderId="36" xfId="0" applyFont="1" applyBorder="1"/>
    <xf numFmtId="0" fontId="57" fillId="0" borderId="0" xfId="0" applyFont="1"/>
    <xf numFmtId="0" fontId="58" fillId="0" borderId="0" xfId="0" applyFont="1"/>
    <xf numFmtId="0" fontId="59" fillId="0" borderId="0" xfId="0" applyFont="1"/>
    <xf numFmtId="6" fontId="59" fillId="0" borderId="0" xfId="0" applyNumberFormat="1" applyFont="1"/>
    <xf numFmtId="0" fontId="60" fillId="0" borderId="0" xfId="0" applyFont="1"/>
    <xf numFmtId="6" fontId="60" fillId="0" borderId="0" xfId="0" applyNumberFormat="1" applyFont="1"/>
    <xf numFmtId="6" fontId="60" fillId="0" borderId="0" xfId="0" applyNumberFormat="1" applyFont="1" applyAlignment="1">
      <alignment horizontal="center"/>
    </xf>
    <xf numFmtId="0" fontId="62" fillId="0" borderId="0" xfId="0" applyFont="1"/>
    <xf numFmtId="6" fontId="63" fillId="0" borderId="0" xfId="0" applyNumberFormat="1" applyFont="1"/>
    <xf numFmtId="6" fontId="57" fillId="0" borderId="0" xfId="0" applyNumberFormat="1" applyFont="1"/>
    <xf numFmtId="0" fontId="64" fillId="0" borderId="0" xfId="0" applyFont="1"/>
    <xf numFmtId="164" fontId="40" fillId="0" borderId="23" xfId="5" applyNumberFormat="1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27" xfId="0" applyFont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25" xfId="0" applyFont="1" applyBorder="1"/>
    <xf numFmtId="0" fontId="0" fillId="0" borderId="23" xfId="0" applyBorder="1" applyAlignment="1">
      <alignment horizontal="center"/>
    </xf>
    <xf numFmtId="0" fontId="0" fillId="0" borderId="40" xfId="0" applyBorder="1"/>
    <xf numFmtId="0" fontId="8" fillId="0" borderId="3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1" xfId="0" applyBorder="1"/>
    <xf numFmtId="0" fontId="7" fillId="0" borderId="4" xfId="0" applyFont="1" applyBorder="1" applyAlignment="1">
      <alignment horizontal="center" wrapText="1"/>
    </xf>
    <xf numFmtId="0" fontId="0" fillId="0" borderId="43" xfId="0" applyBorder="1"/>
    <xf numFmtId="0" fontId="65" fillId="0" borderId="0" xfId="0" applyFont="1"/>
    <xf numFmtId="165" fontId="65" fillId="0" borderId="0" xfId="0" applyNumberFormat="1" applyFont="1"/>
    <xf numFmtId="0" fontId="42" fillId="0" borderId="0" xfId="0" applyFont="1"/>
    <xf numFmtId="164" fontId="42" fillId="0" borderId="0" xfId="0" applyNumberFormat="1" applyFont="1"/>
    <xf numFmtId="3" fontId="0" fillId="0" borderId="4" xfId="0" applyNumberFormat="1" applyBorder="1"/>
    <xf numFmtId="3" fontId="0" fillId="0" borderId="43" xfId="0" applyNumberFormat="1" applyBorder="1"/>
    <xf numFmtId="3" fontId="7" fillId="0" borderId="26" xfId="0" applyNumberFormat="1" applyFont="1" applyBorder="1"/>
    <xf numFmtId="0" fontId="9" fillId="0" borderId="4" xfId="0" applyFont="1" applyBorder="1"/>
    <xf numFmtId="0" fontId="9" fillId="0" borderId="30" xfId="0" applyFont="1" applyBorder="1"/>
    <xf numFmtId="0" fontId="0" fillId="0" borderId="44" xfId="0" applyBorder="1"/>
    <xf numFmtId="0" fontId="39" fillId="0" borderId="4" xfId="0" applyFont="1" applyBorder="1" applyAlignment="1">
      <alignment wrapText="1"/>
    </xf>
    <xf numFmtId="164" fontId="40" fillId="0" borderId="4" xfId="5" applyNumberFormat="1" applyFont="1" applyBorder="1" applyAlignment="1">
      <alignment horizontal="center" wrapText="1"/>
    </xf>
    <xf numFmtId="0" fontId="0" fillId="0" borderId="44" xfId="0" applyBorder="1" applyAlignment="1">
      <alignment wrapText="1"/>
    </xf>
    <xf numFmtId="0" fontId="58" fillId="0" borderId="44" xfId="0" applyFont="1" applyBorder="1"/>
    <xf numFmtId="6" fontId="59" fillId="0" borderId="20" xfId="0" applyNumberFormat="1" applyFont="1" applyBorder="1"/>
    <xf numFmtId="0" fontId="57" fillId="0" borderId="44" xfId="0" applyFont="1" applyBorder="1"/>
    <xf numFmtId="6" fontId="60" fillId="0" borderId="20" xfId="0" applyNumberFormat="1" applyFont="1" applyBorder="1"/>
    <xf numFmtId="0" fontId="62" fillId="0" borderId="44" xfId="0" applyFont="1" applyBorder="1"/>
    <xf numFmtId="0" fontId="63" fillId="0" borderId="0" xfId="0" applyFont="1"/>
    <xf numFmtId="0" fontId="57" fillId="0" borderId="0" xfId="0" applyFont="1" applyAlignment="1">
      <alignment horizontal="left"/>
    </xf>
    <xf numFmtId="0" fontId="59" fillId="0" borderId="33" xfId="0" applyFont="1" applyBorder="1" applyAlignment="1">
      <alignment horizontal="left"/>
    </xf>
    <xf numFmtId="0" fontId="59" fillId="0" borderId="44" xfId="0" quotePrefix="1" applyFont="1" applyBorder="1" applyAlignment="1">
      <alignment horizontal="left"/>
    </xf>
    <xf numFmtId="0" fontId="57" fillId="0" borderId="16" xfId="0" applyFont="1" applyBorder="1"/>
    <xf numFmtId="0" fontId="57" fillId="0" borderId="11" xfId="0" applyFont="1" applyBorder="1"/>
    <xf numFmtId="0" fontId="59" fillId="0" borderId="33" xfId="0" applyFont="1" applyBorder="1"/>
    <xf numFmtId="0" fontId="61" fillId="0" borderId="31" xfId="0" applyFont="1" applyBorder="1"/>
    <xf numFmtId="0" fontId="62" fillId="0" borderId="30" xfId="0" applyFont="1" applyBorder="1"/>
    <xf numFmtId="0" fontId="58" fillId="0" borderId="30" xfId="0" applyFont="1" applyBorder="1"/>
    <xf numFmtId="0" fontId="66" fillId="0" borderId="4" xfId="0" applyFont="1" applyBorder="1"/>
    <xf numFmtId="0" fontId="56" fillId="0" borderId="44" xfId="0" applyFont="1" applyBorder="1" applyAlignment="1">
      <alignment wrapText="1"/>
    </xf>
    <xf numFmtId="0" fontId="51" fillId="0" borderId="44" xfId="0" applyFont="1" applyBorder="1" applyAlignment="1">
      <alignment horizontal="left"/>
    </xf>
    <xf numFmtId="0" fontId="53" fillId="0" borderId="20" xfId="0" applyFont="1" applyBorder="1"/>
    <xf numFmtId="0" fontId="11" fillId="2" borderId="44" xfId="0" applyFont="1" applyFill="1" applyBorder="1"/>
    <xf numFmtId="0" fontId="11" fillId="2" borderId="20" xfId="0" applyFont="1" applyFill="1" applyBorder="1"/>
    <xf numFmtId="0" fontId="4" fillId="0" borderId="44" xfId="0" applyFont="1" applyBorder="1"/>
    <xf numFmtId="0" fontId="4" fillId="0" borderId="20" xfId="0" applyFont="1" applyBorder="1"/>
    <xf numFmtId="0" fontId="9" fillId="0" borderId="16" xfId="0" applyFont="1" applyBorder="1"/>
    <xf numFmtId="166" fontId="0" fillId="0" borderId="44" xfId="0" applyNumberFormat="1" applyBorder="1"/>
    <xf numFmtId="166" fontId="0" fillId="0" borderId="20" xfId="0" applyNumberFormat="1" applyBorder="1"/>
    <xf numFmtId="166" fontId="2" fillId="0" borderId="27" xfId="0" applyNumberFormat="1" applyFont="1" applyBorder="1"/>
    <xf numFmtId="166" fontId="0" fillId="0" borderId="37" xfId="0" applyNumberFormat="1" applyBorder="1"/>
    <xf numFmtId="166" fontId="0" fillId="0" borderId="36" xfId="0" applyNumberFormat="1" applyBorder="1"/>
    <xf numFmtId="166" fontId="0" fillId="0" borderId="45" xfId="0" applyNumberFormat="1" applyBorder="1"/>
    <xf numFmtId="166" fontId="7" fillId="0" borderId="0" xfId="0" applyNumberFormat="1" applyFont="1"/>
    <xf numFmtId="0" fontId="7" fillId="0" borderId="0" xfId="0" applyFont="1" applyAlignment="1">
      <alignment horizontal="left"/>
    </xf>
    <xf numFmtId="166" fontId="7" fillId="0" borderId="20" xfId="0" applyNumberFormat="1" applyFont="1" applyBorder="1" applyAlignment="1">
      <alignment horizontal="right"/>
    </xf>
    <xf numFmtId="165" fontId="38" fillId="0" borderId="46" xfId="0" applyNumberFormat="1" applyFont="1" applyBorder="1"/>
    <xf numFmtId="165" fontId="0" fillId="0" borderId="47" xfId="0" applyNumberFormat="1" applyBorder="1"/>
    <xf numFmtId="165" fontId="0" fillId="0" borderId="48" xfId="0" applyNumberFormat="1" applyBorder="1"/>
    <xf numFmtId="165" fontId="0" fillId="0" borderId="36" xfId="0" applyNumberFormat="1" applyBorder="1"/>
    <xf numFmtId="165" fontId="7" fillId="0" borderId="45" xfId="0" applyNumberFormat="1" applyFont="1" applyBorder="1" applyAlignment="1">
      <alignment horizontal="right"/>
    </xf>
    <xf numFmtId="165" fontId="0" fillId="0" borderId="44" xfId="0" applyNumberFormat="1" applyBorder="1"/>
    <xf numFmtId="165" fontId="7" fillId="0" borderId="20" xfId="0" applyNumberFormat="1" applyFont="1" applyBorder="1" applyAlignment="1">
      <alignment horizontal="right"/>
    </xf>
    <xf numFmtId="165" fontId="7" fillId="0" borderId="47" xfId="0" applyNumberFormat="1" applyFont="1" applyBorder="1"/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164" fontId="40" fillId="0" borderId="9" xfId="5" applyNumberFormat="1" applyFont="1" applyBorder="1" applyAlignment="1">
      <alignment horizontal="center" vertical="center" wrapText="1"/>
    </xf>
    <xf numFmtId="164" fontId="40" fillId="0" borderId="10" xfId="5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left"/>
    </xf>
    <xf numFmtId="0" fontId="21" fillId="0" borderId="20" xfId="0" applyFont="1" applyBorder="1" applyAlignment="1">
      <alignment horizontal="left"/>
    </xf>
    <xf numFmtId="1" fontId="24" fillId="0" borderId="44" xfId="3" applyNumberFormat="1" applyFont="1" applyBorder="1"/>
    <xf numFmtId="1" fontId="24" fillId="0" borderId="0" xfId="3" applyNumberFormat="1" applyFont="1"/>
    <xf numFmtId="1" fontId="25" fillId="0" borderId="0" xfId="3" applyNumberFormat="1" applyFont="1"/>
    <xf numFmtId="1" fontId="26" fillId="0" borderId="0" xfId="3" applyNumberFormat="1" applyFont="1"/>
    <xf numFmtId="1" fontId="22" fillId="0" borderId="0" xfId="3" applyNumberFormat="1" applyFont="1"/>
    <xf numFmtId="1" fontId="27" fillId="0" borderId="0" xfId="3" applyNumberFormat="1" applyFont="1"/>
    <xf numFmtId="1" fontId="28" fillId="0" borderId="0" xfId="3" applyNumberFormat="1" applyFont="1"/>
    <xf numFmtId="1" fontId="22" fillId="0" borderId="20" xfId="3" applyNumberFormat="1" applyFont="1" applyBorder="1"/>
    <xf numFmtId="0" fontId="0" fillId="0" borderId="48" xfId="0" applyBorder="1"/>
    <xf numFmtId="6" fontId="0" fillId="0" borderId="0" xfId="0" applyNumberFormat="1"/>
    <xf numFmtId="0" fontId="68" fillId="0" borderId="44" xfId="0" applyFont="1" applyBorder="1"/>
    <xf numFmtId="0" fontId="68" fillId="0" borderId="0" xfId="0" applyFont="1"/>
    <xf numFmtId="166" fontId="57" fillId="0" borderId="23" xfId="0" applyNumberFormat="1" applyFont="1" applyBorder="1"/>
    <xf numFmtId="166" fontId="62" fillId="0" borderId="35" xfId="0" applyNumberFormat="1" applyFont="1" applyBorder="1"/>
    <xf numFmtId="166" fontId="58" fillId="0" borderId="20" xfId="0" applyNumberFormat="1" applyFont="1" applyBorder="1"/>
    <xf numFmtId="166" fontId="63" fillId="0" borderId="35" xfId="0" applyNumberFormat="1" applyFont="1" applyBorder="1"/>
    <xf numFmtId="166" fontId="58" fillId="0" borderId="0" xfId="0" applyNumberFormat="1" applyFont="1"/>
    <xf numFmtId="166" fontId="59" fillId="0" borderId="30" xfId="0" applyNumberFormat="1" applyFont="1" applyBorder="1"/>
    <xf numFmtId="166" fontId="55" fillId="0" borderId="2" xfId="0" applyNumberFormat="1" applyFont="1" applyBorder="1" applyAlignment="1">
      <alignment horizontal="left"/>
    </xf>
    <xf numFmtId="166" fontId="51" fillId="0" borderId="45" xfId="0" applyNumberFormat="1" applyFont="1" applyBorder="1" applyAlignment="1">
      <alignment horizontal="right"/>
    </xf>
    <xf numFmtId="166" fontId="51" fillId="0" borderId="32" xfId="0" applyNumberFormat="1" applyFont="1" applyBorder="1" applyAlignment="1">
      <alignment horizontal="right"/>
    </xf>
    <xf numFmtId="166" fontId="55" fillId="0" borderId="0" xfId="0" applyNumberFormat="1" applyFont="1" applyAlignment="1">
      <alignment horizontal="left"/>
    </xf>
    <xf numFmtId="166" fontId="56" fillId="0" borderId="20" xfId="0" applyNumberFormat="1" applyFont="1" applyBorder="1" applyAlignment="1">
      <alignment horizontal="left"/>
    </xf>
    <xf numFmtId="166" fontId="56" fillId="0" borderId="45" xfId="0" applyNumberFormat="1" applyFont="1" applyBorder="1" applyAlignment="1">
      <alignment horizontal="left"/>
    </xf>
    <xf numFmtId="166" fontId="54" fillId="0" borderId="30" xfId="0" applyNumberFormat="1" applyFont="1" applyBorder="1" applyAlignment="1">
      <alignment horizontal="left"/>
    </xf>
    <xf numFmtId="166" fontId="51" fillId="0" borderId="30" xfId="0" applyNumberFormat="1" applyFont="1" applyBorder="1" applyAlignment="1">
      <alignment horizontal="left"/>
    </xf>
    <xf numFmtId="166" fontId="53" fillId="0" borderId="30" xfId="0" applyNumberFormat="1" applyFont="1" applyBorder="1" applyAlignment="1">
      <alignment horizontal="left"/>
    </xf>
    <xf numFmtId="1" fontId="56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 wrapText="1"/>
    </xf>
    <xf numFmtId="166" fontId="0" fillId="0" borderId="4" xfId="0" applyNumberFormat="1" applyBorder="1" applyAlignment="1">
      <alignment horizontal="right"/>
    </xf>
    <xf numFmtId="166" fontId="0" fillId="0" borderId="12" xfId="0" applyNumberFormat="1" applyBorder="1"/>
    <xf numFmtId="166" fontId="0" fillId="0" borderId="23" xfId="0" applyNumberFormat="1" applyBorder="1" applyAlignment="1">
      <alignment horizontal="right"/>
    </xf>
    <xf numFmtId="1" fontId="0" fillId="0" borderId="0" xfId="0" applyNumberFormat="1"/>
    <xf numFmtId="1" fontId="13" fillId="0" borderId="20" xfId="0" applyNumberFormat="1" applyFont="1" applyBorder="1"/>
    <xf numFmtId="1" fontId="14" fillId="0" borderId="20" xfId="0" applyNumberFormat="1" applyFont="1" applyBorder="1"/>
    <xf numFmtId="1" fontId="46" fillId="0" borderId="44" xfId="0" quotePrefix="1" applyNumberFormat="1" applyFont="1" applyBorder="1" applyAlignment="1">
      <alignment horizontal="left"/>
    </xf>
    <xf numFmtId="1" fontId="38" fillId="0" borderId="24" xfId="0" applyNumberFormat="1" applyFont="1" applyBorder="1"/>
    <xf numFmtId="1" fontId="7" fillId="0" borderId="3" xfId="0" applyNumberFormat="1" applyFont="1" applyBorder="1"/>
    <xf numFmtId="1" fontId="38" fillId="0" borderId="49" xfId="0" applyNumberFormat="1" applyFont="1" applyBorder="1"/>
    <xf numFmtId="1" fontId="7" fillId="0" borderId="50" xfId="0" applyNumberFormat="1" applyFont="1" applyBorder="1"/>
    <xf numFmtId="1" fontId="0" fillId="0" borderId="50" xfId="0" applyNumberFormat="1" applyBorder="1"/>
    <xf numFmtId="1" fontId="38" fillId="0" borderId="44" xfId="0" applyNumberFormat="1" applyFont="1" applyBorder="1"/>
    <xf numFmtId="1" fontId="0" fillId="0" borderId="20" xfId="0" applyNumberFormat="1" applyBorder="1"/>
    <xf numFmtId="1" fontId="38" fillId="0" borderId="48" xfId="0" applyNumberFormat="1" applyFont="1" applyBorder="1"/>
    <xf numFmtId="1" fontId="0" fillId="0" borderId="36" xfId="0" applyNumberFormat="1" applyBorder="1"/>
    <xf numFmtId="166" fontId="0" fillId="0" borderId="47" xfId="0" applyNumberFormat="1" applyBorder="1"/>
    <xf numFmtId="166" fontId="7" fillId="0" borderId="38" xfId="0" applyNumberFormat="1" applyFont="1" applyBorder="1" applyAlignment="1">
      <alignment horizontal="right"/>
    </xf>
    <xf numFmtId="166" fontId="7" fillId="0" borderId="45" xfId="0" applyNumberFormat="1" applyFont="1" applyBorder="1" applyAlignment="1">
      <alignment horizontal="right"/>
    </xf>
    <xf numFmtId="166" fontId="7" fillId="0" borderId="47" xfId="0" applyNumberFormat="1" applyFont="1" applyBorder="1"/>
    <xf numFmtId="166" fontId="8" fillId="0" borderId="0" xfId="0" applyNumberFormat="1" applyFont="1" applyAlignment="1">
      <alignment horizontal="right"/>
    </xf>
    <xf numFmtId="166" fontId="8" fillId="0" borderId="36" xfId="0" applyNumberFormat="1" applyFont="1" applyBorder="1" applyAlignment="1">
      <alignment horizontal="right"/>
    </xf>
    <xf numFmtId="166" fontId="8" fillId="0" borderId="36" xfId="0" applyNumberFormat="1" applyFont="1" applyBorder="1"/>
    <xf numFmtId="1" fontId="8" fillId="0" borderId="0" xfId="0" applyNumberFormat="1" applyFont="1"/>
    <xf numFmtId="1" fontId="37" fillId="0" borderId="0" xfId="0" applyNumberFormat="1" applyFont="1"/>
    <xf numFmtId="1" fontId="43" fillId="0" borderId="0" xfId="0" applyNumberFormat="1" applyFont="1"/>
    <xf numFmtId="1" fontId="39" fillId="0" borderId="4" xfId="5" applyNumberFormat="1" applyFont="1" applyBorder="1" applyAlignment="1">
      <alignment horizontal="right"/>
    </xf>
    <xf numFmtId="1" fontId="0" fillId="0" borderId="0" xfId="0" applyNumberFormat="1" applyAlignment="1">
      <alignment horizontal="right"/>
    </xf>
    <xf numFmtId="1" fontId="0" fillId="0" borderId="20" xfId="0" applyNumberFormat="1" applyBorder="1" applyAlignment="1">
      <alignment horizontal="right"/>
    </xf>
    <xf numFmtId="1" fontId="21" fillId="0" borderId="0" xfId="0" applyNumberFormat="1" applyFont="1" applyAlignment="1">
      <alignment horizontal="left"/>
    </xf>
    <xf numFmtId="1" fontId="21" fillId="0" borderId="20" xfId="0" applyNumberFormat="1" applyFont="1" applyBorder="1" applyAlignment="1">
      <alignment horizontal="left"/>
    </xf>
    <xf numFmtId="0" fontId="57" fillId="0" borderId="54" xfId="0" applyFont="1" applyBorder="1"/>
    <xf numFmtId="166" fontId="57" fillId="0" borderId="55" xfId="0" applyNumberFormat="1" applyFont="1" applyBorder="1"/>
    <xf numFmtId="166" fontId="0" fillId="0" borderId="56" xfId="0" applyNumberFormat="1" applyBorder="1"/>
    <xf numFmtId="166" fontId="0" fillId="0" borderId="48" xfId="0" applyNumberFormat="1" applyBorder="1"/>
    <xf numFmtId="1" fontId="7" fillId="0" borderId="4" xfId="0" applyNumberFormat="1" applyFont="1" applyBorder="1"/>
    <xf numFmtId="1" fontId="7" fillId="0" borderId="4" xfId="0" applyNumberFormat="1" applyFont="1" applyBorder="1" applyAlignment="1">
      <alignment horizontal="center"/>
    </xf>
    <xf numFmtId="1" fontId="8" fillId="0" borderId="4" xfId="0" applyNumberFormat="1" applyFont="1" applyBorder="1"/>
    <xf numFmtId="1" fontId="40" fillId="0" borderId="5" xfId="5" applyNumberFormat="1" applyFont="1" applyBorder="1" applyAlignment="1">
      <alignment horizontal="center" vertical="center" wrapText="1"/>
    </xf>
    <xf numFmtId="1" fontId="40" fillId="0" borderId="5" xfId="5" applyNumberFormat="1" applyFont="1" applyBorder="1" applyAlignment="1">
      <alignment horizontal="right" vertical="center" wrapText="1"/>
    </xf>
    <xf numFmtId="1" fontId="40" fillId="0" borderId="15" xfId="5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0" fillId="0" borderId="36" xfId="0" applyBorder="1"/>
    <xf numFmtId="164" fontId="40" fillId="0" borderId="5" xfId="5" applyNumberFormat="1" applyFont="1" applyBorder="1" applyAlignment="1">
      <alignment horizontal="center" wrapText="1"/>
    </xf>
    <xf numFmtId="0" fontId="56" fillId="0" borderId="0" xfId="0" applyFont="1" applyAlignment="1">
      <alignment horizontal="left"/>
    </xf>
    <xf numFmtId="0" fontId="56" fillId="0" borderId="0" xfId="0" applyFont="1" applyAlignment="1">
      <alignment horizontal="right"/>
    </xf>
    <xf numFmtId="0" fontId="7" fillId="0" borderId="2" xfId="0" applyFont="1" applyBorder="1"/>
    <xf numFmtId="0" fontId="40" fillId="0" borderId="5" xfId="5" applyNumberFormat="1" applyFont="1" applyBorder="1" applyAlignment="1">
      <alignment horizontal="center" wrapText="1"/>
    </xf>
    <xf numFmtId="0" fontId="0" fillId="0" borderId="20" xfId="0" applyBorder="1" applyAlignment="1">
      <alignment horizontal="left"/>
    </xf>
    <xf numFmtId="1" fontId="7" fillId="3" borderId="52" xfId="0" applyNumberFormat="1" applyFont="1" applyFill="1" applyBorder="1"/>
    <xf numFmtId="0" fontId="37" fillId="3" borderId="26" xfId="0" applyFont="1" applyFill="1" applyBorder="1" applyAlignment="1">
      <alignment horizontal="center"/>
    </xf>
    <xf numFmtId="0" fontId="8" fillId="0" borderId="4" xfId="0" applyFont="1" applyBorder="1" applyAlignment="1">
      <alignment horizontal="right" wrapText="1"/>
    </xf>
    <xf numFmtId="0" fontId="0" fillId="0" borderId="29" xfId="0" applyBorder="1"/>
    <xf numFmtId="0" fontId="0" fillId="0" borderId="54" xfId="0" applyBorder="1"/>
    <xf numFmtId="0" fontId="7" fillId="0" borderId="18" xfId="0" applyFont="1" applyBorder="1"/>
    <xf numFmtId="0" fontId="0" fillId="0" borderId="22" xfId="0" applyBorder="1"/>
    <xf numFmtId="0" fontId="0" fillId="0" borderId="57" xfId="0" applyBorder="1"/>
    <xf numFmtId="0" fontId="0" fillId="0" borderId="28" xfId="0" applyBorder="1"/>
    <xf numFmtId="0" fontId="0" fillId="0" borderId="1" xfId="0" applyBorder="1"/>
    <xf numFmtId="0" fontId="0" fillId="0" borderId="47" xfId="0" applyBorder="1"/>
    <xf numFmtId="0" fontId="0" fillId="0" borderId="38" xfId="0" applyBorder="1"/>
    <xf numFmtId="0" fontId="7" fillId="0" borderId="22" xfId="0" applyFont="1" applyBorder="1"/>
    <xf numFmtId="0" fontId="7" fillId="0" borderId="54" xfId="0" applyFont="1" applyBorder="1"/>
    <xf numFmtId="0" fontId="7" fillId="0" borderId="58" xfId="0" applyFont="1" applyBorder="1"/>
    <xf numFmtId="0" fontId="7" fillId="0" borderId="28" xfId="0" applyFont="1" applyBorder="1"/>
    <xf numFmtId="0" fontId="7" fillId="0" borderId="20" xfId="0" applyFont="1" applyBorder="1"/>
    <xf numFmtId="0" fontId="7" fillId="0" borderId="36" xfId="0" applyFont="1" applyBorder="1"/>
    <xf numFmtId="0" fontId="7" fillId="0" borderId="32" xfId="0" applyFont="1" applyBorder="1"/>
    <xf numFmtId="0" fontId="7" fillId="0" borderId="30" xfId="0" applyFont="1" applyBorder="1"/>
    <xf numFmtId="0" fontId="1" fillId="0" borderId="59" xfId="0" applyFont="1" applyBorder="1"/>
    <xf numFmtId="0" fontId="1" fillId="0" borderId="35" xfId="0" applyFont="1" applyBorder="1" applyAlignment="1">
      <alignment horizontal="center" wrapText="1"/>
    </xf>
    <xf numFmtId="0" fontId="0" fillId="0" borderId="6" xfId="0" applyBorder="1"/>
    <xf numFmtId="0" fontId="8" fillId="0" borderId="6" xfId="0" applyFont="1" applyBorder="1" applyAlignment="1">
      <alignment wrapText="1"/>
    </xf>
    <xf numFmtId="0" fontId="8" fillId="0" borderId="43" xfId="0" applyFont="1" applyBorder="1" applyAlignment="1">
      <alignment horizontal="center"/>
    </xf>
    <xf numFmtId="0" fontId="1" fillId="0" borderId="6" xfId="0" applyFont="1" applyBorder="1"/>
    <xf numFmtId="0" fontId="8" fillId="0" borderId="6" xfId="0" applyFont="1" applyBorder="1"/>
    <xf numFmtId="0" fontId="37" fillId="0" borderId="4" xfId="0" applyFont="1" applyBorder="1"/>
    <xf numFmtId="0" fontId="37" fillId="0" borderId="4" xfId="0" applyFont="1" applyBorder="1" applyAlignment="1">
      <alignment wrapText="1"/>
    </xf>
    <xf numFmtId="0" fontId="37" fillId="0" borderId="43" xfId="0" applyFont="1" applyBorder="1" applyAlignment="1">
      <alignment wrapText="1"/>
    </xf>
    <xf numFmtId="0" fontId="1" fillId="0" borderId="43" xfId="0" applyFont="1" applyBorder="1"/>
    <xf numFmtId="0" fontId="8" fillId="0" borderId="5" xfId="0" applyFont="1" applyBorder="1" applyAlignment="1">
      <alignment wrapText="1"/>
    </xf>
    <xf numFmtId="0" fontId="1" fillId="0" borderId="4" xfId="0" quotePrefix="1" applyFont="1" applyBorder="1" applyAlignment="1">
      <alignment horizontal="left"/>
    </xf>
    <xf numFmtId="0" fontId="9" fillId="0" borderId="0" xfId="0" applyFont="1" applyAlignment="1">
      <alignment horizontal="center" wrapText="1"/>
    </xf>
    <xf numFmtId="0" fontId="0" fillId="0" borderId="37" xfId="0" applyBorder="1"/>
    <xf numFmtId="0" fontId="40" fillId="0" borderId="4" xfId="0" applyFont="1" applyBorder="1" applyAlignment="1">
      <alignment horizontal="center" wrapText="1"/>
    </xf>
    <xf numFmtId="0" fontId="40" fillId="0" borderId="8" xfId="0" applyFont="1" applyBorder="1" applyAlignment="1">
      <alignment horizontal="center" vertical="center" wrapText="1"/>
    </xf>
    <xf numFmtId="49" fontId="39" fillId="0" borderId="16" xfId="0" applyNumberFormat="1" applyFont="1" applyBorder="1" applyAlignment="1">
      <alignment horizontal="center"/>
    </xf>
    <xf numFmtId="0" fontId="39" fillId="0" borderId="4" xfId="0" applyFont="1" applyBorder="1" applyAlignment="1">
      <alignment horizontal="left"/>
    </xf>
    <xf numFmtId="49" fontId="11" fillId="0" borderId="44" xfId="0" applyNumberFormat="1" applyFont="1" applyBorder="1"/>
    <xf numFmtId="49" fontId="0" fillId="0" borderId="44" xfId="0" applyNumberFormat="1" applyBorder="1"/>
    <xf numFmtId="49" fontId="39" fillId="0" borderId="14" xfId="0" applyNumberFormat="1" applyFont="1" applyBorder="1" applyAlignment="1">
      <alignment horizontal="center"/>
    </xf>
    <xf numFmtId="49" fontId="0" fillId="0" borderId="44" xfId="0" applyNumberFormat="1" applyBorder="1" applyAlignment="1">
      <alignment wrapText="1"/>
    </xf>
    <xf numFmtId="49" fontId="0" fillId="0" borderId="0" xfId="0" applyNumberFormat="1"/>
    <xf numFmtId="49" fontId="7" fillId="0" borderId="0" xfId="0" applyNumberFormat="1" applyFont="1"/>
    <xf numFmtId="49" fontId="40" fillId="0" borderId="16" xfId="0" applyNumberFormat="1" applyFont="1" applyBorder="1" applyAlignment="1">
      <alignment horizontal="center" vertical="center" wrapText="1"/>
    </xf>
    <xf numFmtId="49" fontId="42" fillId="0" borderId="16" xfId="0" applyNumberFormat="1" applyFont="1" applyBorder="1" applyAlignment="1">
      <alignment horizontal="center" vertical="center"/>
    </xf>
    <xf numFmtId="49" fontId="66" fillId="0" borderId="16" xfId="0" applyNumberFormat="1" applyFont="1" applyBorder="1" applyAlignment="1">
      <alignment horizontal="left" wrapText="1"/>
    </xf>
    <xf numFmtId="49" fontId="40" fillId="0" borderId="16" xfId="0" applyNumberFormat="1" applyFont="1" applyBorder="1" applyAlignment="1">
      <alignment horizontal="center" wrapText="1"/>
    </xf>
    <xf numFmtId="49" fontId="39" fillId="0" borderId="11" xfId="0" applyNumberFormat="1" applyFont="1" applyBorder="1" applyAlignment="1">
      <alignment horizontal="center"/>
    </xf>
    <xf numFmtId="0" fontId="8" fillId="0" borderId="4" xfId="0" applyFont="1" applyBorder="1" applyAlignment="1">
      <alignment horizontal="right"/>
    </xf>
    <xf numFmtId="0" fontId="48" fillId="0" borderId="44" xfId="0" applyFont="1" applyBorder="1" applyAlignment="1">
      <alignment wrapText="1"/>
    </xf>
    <xf numFmtId="166" fontId="48" fillId="0" borderId="0" xfId="0" applyNumberFormat="1" applyFont="1" applyAlignment="1">
      <alignment horizontal="right"/>
    </xf>
    <xf numFmtId="166" fontId="40" fillId="0" borderId="0" xfId="5" applyNumberFormat="1" applyFont="1" applyAlignment="1">
      <alignment horizontal="right" vertical="center"/>
    </xf>
    <xf numFmtId="166" fontId="39" fillId="0" borderId="0" xfId="5" applyNumberFormat="1" applyFont="1" applyAlignment="1">
      <alignment horizontal="right"/>
    </xf>
    <xf numFmtId="166" fontId="49" fillId="0" borderId="0" xfId="0" applyNumberFormat="1" applyFont="1"/>
    <xf numFmtId="166" fontId="46" fillId="0" borderId="0" xfId="0" applyNumberFormat="1" applyFont="1" applyAlignment="1">
      <alignment horizontal="left"/>
    </xf>
    <xf numFmtId="1" fontId="30" fillId="0" borderId="19" xfId="3" applyNumberFormat="1" applyFont="1" applyBorder="1"/>
    <xf numFmtId="0" fontId="0" fillId="0" borderId="19" xfId="0" applyBorder="1"/>
    <xf numFmtId="0" fontId="7" fillId="0" borderId="19" xfId="0" applyFont="1" applyBorder="1"/>
    <xf numFmtId="0" fontId="0" fillId="0" borderId="50" xfId="0" applyBorder="1"/>
    <xf numFmtId="0" fontId="0" fillId="0" borderId="7" xfId="0" applyBorder="1"/>
    <xf numFmtId="0" fontId="7" fillId="0" borderId="7" xfId="0" applyFont="1" applyBorder="1"/>
    <xf numFmtId="0" fontId="0" fillId="0" borderId="60" xfId="0" applyBorder="1"/>
    <xf numFmtId="0" fontId="7" fillId="0" borderId="61" xfId="0" applyFont="1" applyBorder="1"/>
    <xf numFmtId="0" fontId="8" fillId="0" borderId="7" xfId="0" applyFont="1" applyBorder="1"/>
    <xf numFmtId="0" fontId="8" fillId="0" borderId="60" xfId="0" applyFont="1" applyBorder="1"/>
    <xf numFmtId="0" fontId="9" fillId="0" borderId="5" xfId="0" applyFont="1" applyBorder="1"/>
    <xf numFmtId="0" fontId="8" fillId="0" borderId="62" xfId="0" applyFont="1" applyBorder="1" applyAlignment="1">
      <alignment horizontal="right"/>
    </xf>
    <xf numFmtId="3" fontId="0" fillId="0" borderId="62" xfId="0" applyNumberFormat="1" applyBorder="1"/>
    <xf numFmtId="0" fontId="0" fillId="0" borderId="62" xfId="0" applyBorder="1"/>
    <xf numFmtId="3" fontId="7" fillId="0" borderId="21" xfId="0" applyNumberFormat="1" applyFont="1" applyBorder="1"/>
    <xf numFmtId="3" fontId="7" fillId="0" borderId="30" xfId="0" applyNumberFormat="1" applyFont="1" applyBorder="1"/>
    <xf numFmtId="3" fontId="0" fillId="0" borderId="61" xfId="0" applyNumberFormat="1" applyBorder="1"/>
    <xf numFmtId="0" fontId="0" fillId="0" borderId="30" xfId="0" applyBorder="1"/>
    <xf numFmtId="0" fontId="7" fillId="0" borderId="4" xfId="0" applyFont="1" applyBorder="1"/>
    <xf numFmtId="3" fontId="7" fillId="0" borderId="4" xfId="0" applyNumberFormat="1" applyFont="1" applyBorder="1"/>
    <xf numFmtId="3" fontId="7" fillId="0" borderId="12" xfId="0" applyNumberFormat="1" applyFont="1" applyBorder="1"/>
    <xf numFmtId="49" fontId="49" fillId="0" borderId="11" xfId="0" applyNumberFormat="1" applyFont="1" applyBorder="1" applyAlignment="1">
      <alignment horizontal="center"/>
    </xf>
    <xf numFmtId="0" fontId="49" fillId="0" borderId="44" xfId="0" applyFont="1" applyBorder="1"/>
    <xf numFmtId="0" fontId="7" fillId="0" borderId="0" xfId="0" applyFont="1" applyAlignment="1">
      <alignment horizontal="center" wrapText="1"/>
    </xf>
    <xf numFmtId="0" fontId="7" fillId="0" borderId="31" xfId="0" applyFont="1" applyBorder="1"/>
    <xf numFmtId="0" fontId="8" fillId="0" borderId="62" xfId="0" applyFont="1" applyBorder="1" applyAlignment="1">
      <alignment horizontal="right" wrapText="1"/>
    </xf>
    <xf numFmtId="3" fontId="7" fillId="0" borderId="64" xfId="0" applyNumberFormat="1" applyFont="1" applyBorder="1"/>
    <xf numFmtId="3" fontId="7" fillId="0" borderId="0" xfId="0" applyNumberFormat="1" applyFont="1"/>
    <xf numFmtId="0" fontId="7" fillId="0" borderId="2" xfId="0" applyFont="1" applyBorder="1" applyAlignment="1">
      <alignment horizontal="center"/>
    </xf>
    <xf numFmtId="0" fontId="7" fillId="0" borderId="6" xfId="0" applyFont="1" applyBorder="1"/>
    <xf numFmtId="3" fontId="9" fillId="0" borderId="18" xfId="0" applyNumberFormat="1" applyFont="1" applyBorder="1"/>
    <xf numFmtId="3" fontId="9" fillId="0" borderId="26" xfId="0" applyNumberFormat="1" applyFont="1" applyBorder="1"/>
    <xf numFmtId="3" fontId="0" fillId="0" borderId="56" xfId="0" applyNumberFormat="1" applyBorder="1"/>
    <xf numFmtId="3" fontId="7" fillId="0" borderId="18" xfId="0" applyNumberFormat="1" applyFont="1" applyBorder="1"/>
    <xf numFmtId="49" fontId="49" fillId="0" borderId="11" xfId="0" applyNumberFormat="1" applyFont="1" applyBorder="1" applyAlignment="1">
      <alignment horizontal="left" wrapText="1"/>
    </xf>
    <xf numFmtId="0" fontId="7" fillId="0" borderId="38" xfId="0" applyFont="1" applyBorder="1" applyAlignment="1">
      <alignment horizontal="center"/>
    </xf>
    <xf numFmtId="0" fontId="0" fillId="0" borderId="51" xfId="0" applyBorder="1"/>
    <xf numFmtId="0" fontId="0" fillId="0" borderId="41" xfId="0" applyBorder="1"/>
    <xf numFmtId="0" fontId="0" fillId="0" borderId="71" xfId="0" applyBorder="1"/>
    <xf numFmtId="0" fontId="7" fillId="0" borderId="72" xfId="0" applyFont="1" applyBorder="1"/>
    <xf numFmtId="0" fontId="0" fillId="0" borderId="42" xfId="0" applyBorder="1"/>
    <xf numFmtId="0" fontId="0" fillId="0" borderId="73" xfId="0" applyBorder="1"/>
    <xf numFmtId="0" fontId="0" fillId="0" borderId="74" xfId="0" applyBorder="1"/>
    <xf numFmtId="0" fontId="0" fillId="0" borderId="18" xfId="0" applyBorder="1"/>
    <xf numFmtId="0" fontId="7" fillId="0" borderId="32" xfId="0" applyFont="1" applyBorder="1" applyAlignment="1">
      <alignment horizontal="center" wrapText="1"/>
    </xf>
    <xf numFmtId="0" fontId="7" fillId="0" borderId="72" xfId="0" applyFont="1" applyBorder="1" applyAlignment="1">
      <alignment horizontal="center" wrapText="1"/>
    </xf>
    <xf numFmtId="0" fontId="0" fillId="0" borderId="75" xfId="0" applyBorder="1"/>
    <xf numFmtId="0" fontId="0" fillId="0" borderId="76" xfId="0" applyBorder="1"/>
    <xf numFmtId="0" fontId="0" fillId="0" borderId="10" xfId="0" applyBorder="1"/>
    <xf numFmtId="0" fontId="0" fillId="0" borderId="77" xfId="0" applyBorder="1"/>
    <xf numFmtId="0" fontId="39" fillId="0" borderId="12" xfId="0" applyFont="1" applyBorder="1" applyAlignment="1">
      <alignment wrapText="1"/>
    </xf>
    <xf numFmtId="166" fontId="72" fillId="0" borderId="0" xfId="0" applyNumberFormat="1" applyFont="1" applyAlignment="1">
      <alignment horizontal="center" wrapText="1"/>
    </xf>
    <xf numFmtId="166" fontId="72" fillId="0" borderId="36" xfId="0" applyNumberFormat="1" applyFont="1" applyBorder="1" applyAlignment="1">
      <alignment horizontal="center" wrapText="1"/>
    </xf>
    <xf numFmtId="0" fontId="72" fillId="0" borderId="45" xfId="0" applyFont="1" applyBorder="1" applyAlignment="1">
      <alignment horizontal="center"/>
    </xf>
    <xf numFmtId="0" fontId="50" fillId="0" borderId="4" xfId="0" applyFont="1" applyBorder="1"/>
    <xf numFmtId="0" fontId="49" fillId="0" borderId="12" xfId="0" applyFont="1" applyBorder="1"/>
    <xf numFmtId="0" fontId="50" fillId="0" borderId="5" xfId="0" applyFont="1" applyBorder="1"/>
    <xf numFmtId="166" fontId="50" fillId="0" borderId="5" xfId="0" applyNumberFormat="1" applyFont="1" applyBorder="1" applyAlignment="1">
      <alignment horizontal="right"/>
    </xf>
    <xf numFmtId="0" fontId="50" fillId="0" borderId="12" xfId="0" applyFont="1" applyBorder="1"/>
    <xf numFmtId="166" fontId="55" fillId="0" borderId="2" xfId="0" applyNumberFormat="1" applyFont="1" applyBorder="1" applyAlignment="1">
      <alignment horizontal="center"/>
    </xf>
    <xf numFmtId="166" fontId="55" fillId="0" borderId="37" xfId="0" applyNumberFormat="1" applyFont="1" applyBorder="1" applyAlignment="1">
      <alignment horizontal="center"/>
    </xf>
    <xf numFmtId="166" fontId="56" fillId="0" borderId="20" xfId="0" applyNumberFormat="1" applyFont="1" applyBorder="1" applyAlignment="1">
      <alignment horizontal="right"/>
    </xf>
    <xf numFmtId="166" fontId="55" fillId="0" borderId="20" xfId="0" applyNumberFormat="1" applyFont="1" applyBorder="1" applyAlignment="1">
      <alignment horizontal="right"/>
    </xf>
    <xf numFmtId="166" fontId="54" fillId="0" borderId="30" xfId="0" applyNumberFormat="1" applyFont="1" applyBorder="1" applyAlignment="1">
      <alignment horizontal="right"/>
    </xf>
    <xf numFmtId="0" fontId="55" fillId="0" borderId="0" xfId="0" applyFont="1" applyAlignment="1">
      <alignment horizontal="center"/>
    </xf>
    <xf numFmtId="166" fontId="51" fillId="0" borderId="36" xfId="0" applyNumberFormat="1" applyFont="1" applyBorder="1" applyAlignment="1">
      <alignment horizontal="right"/>
    </xf>
    <xf numFmtId="166" fontId="51" fillId="0" borderId="31" xfId="0" applyNumberFormat="1" applyFont="1" applyBorder="1" applyAlignment="1">
      <alignment horizontal="left"/>
    </xf>
    <xf numFmtId="166" fontId="53" fillId="0" borderId="48" xfId="0" applyNumberFormat="1" applyFont="1" applyBorder="1" applyAlignment="1">
      <alignment horizontal="left"/>
    </xf>
    <xf numFmtId="49" fontId="48" fillId="0" borderId="16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wrapText="1"/>
    </xf>
    <xf numFmtId="0" fontId="48" fillId="0" borderId="4" xfId="0" applyFont="1" applyBorder="1"/>
    <xf numFmtId="49" fontId="48" fillId="0" borderId="14" xfId="0" applyNumberFormat="1" applyFont="1" applyBorder="1" applyAlignment="1">
      <alignment horizontal="center" vertical="center"/>
    </xf>
    <xf numFmtId="0" fontId="39" fillId="4" borderId="12" xfId="0" applyFont="1" applyFill="1" applyBorder="1" applyAlignment="1">
      <alignment wrapText="1"/>
    </xf>
    <xf numFmtId="166" fontId="48" fillId="0" borderId="4" xfId="0" applyNumberFormat="1" applyFont="1" applyBorder="1" applyAlignment="1">
      <alignment horizontal="right"/>
    </xf>
    <xf numFmtId="165" fontId="42" fillId="0" borderId="0" xfId="0" applyNumberFormat="1" applyFont="1"/>
    <xf numFmtId="49" fontId="48" fillId="0" borderId="16" xfId="0" applyNumberFormat="1" applyFont="1" applyBorder="1" applyAlignment="1">
      <alignment horizontal="left" wrapText="1"/>
    </xf>
    <xf numFmtId="166" fontId="42" fillId="0" borderId="0" xfId="0" applyNumberFormat="1" applyFont="1"/>
    <xf numFmtId="166" fontId="42" fillId="0" borderId="0" xfId="0" applyNumberFormat="1" applyFont="1" applyAlignment="1">
      <alignment horizontal="right"/>
    </xf>
    <xf numFmtId="166" fontId="42" fillId="0" borderId="0" xfId="5" applyNumberFormat="1" applyFont="1" applyAlignment="1">
      <alignment horizontal="right"/>
    </xf>
    <xf numFmtId="0" fontId="42" fillId="0" borderId="12" xfId="0" applyFont="1" applyBorder="1"/>
    <xf numFmtId="49" fontId="48" fillId="0" borderId="14" xfId="0" applyNumberFormat="1" applyFont="1" applyBorder="1" applyAlignment="1">
      <alignment horizontal="center"/>
    </xf>
    <xf numFmtId="49" fontId="42" fillId="0" borderId="11" xfId="0" applyNumberFormat="1" applyFont="1" applyBorder="1" applyAlignment="1">
      <alignment horizontal="center"/>
    </xf>
    <xf numFmtId="0" fontId="48" fillId="0" borderId="0" xfId="0" applyFont="1"/>
    <xf numFmtId="0" fontId="48" fillId="4" borderId="5" xfId="0" applyFont="1" applyFill="1" applyBorder="1"/>
    <xf numFmtId="165" fontId="48" fillId="0" borderId="0" xfId="0" applyNumberFormat="1" applyFont="1"/>
    <xf numFmtId="0" fontId="48" fillId="4" borderId="12" xfId="0" applyFont="1" applyFill="1" applyBorder="1"/>
    <xf numFmtId="0" fontId="0" fillId="0" borderId="33" xfId="0" applyBorder="1"/>
    <xf numFmtId="0" fontId="0" fillId="0" borderId="46" xfId="0" applyBorder="1"/>
    <xf numFmtId="49" fontId="65" fillId="0" borderId="19" xfId="0" applyNumberFormat="1" applyFont="1" applyBorder="1" applyAlignment="1">
      <alignment horizontal="center"/>
    </xf>
    <xf numFmtId="0" fontId="7" fillId="0" borderId="44" xfId="0" applyFont="1" applyBorder="1" applyAlignment="1">
      <alignment wrapText="1"/>
    </xf>
    <xf numFmtId="0" fontId="7" fillId="0" borderId="0" xfId="0" applyFont="1" applyAlignment="1">
      <alignment wrapText="1"/>
    </xf>
    <xf numFmtId="1" fontId="7" fillId="0" borderId="0" xfId="0" applyNumberFormat="1" applyFont="1" applyAlignment="1">
      <alignment horizontal="right"/>
    </xf>
    <xf numFmtId="49" fontId="39" fillId="0" borderId="19" xfId="0" applyNumberFormat="1" applyFont="1" applyBorder="1" applyAlignment="1">
      <alignment horizontal="center"/>
    </xf>
    <xf numFmtId="1" fontId="48" fillId="0" borderId="0" xfId="5" applyNumberFormat="1" applyFont="1" applyAlignment="1">
      <alignment horizontal="right"/>
    </xf>
    <xf numFmtId="49" fontId="48" fillId="0" borderId="16" xfId="0" applyNumberFormat="1" applyFont="1" applyBorder="1" applyAlignment="1">
      <alignment horizontal="center"/>
    </xf>
    <xf numFmtId="0" fontId="48" fillId="0" borderId="4" xfId="0" quotePrefix="1" applyFont="1" applyBorder="1" applyAlignment="1">
      <alignment horizontal="left"/>
    </xf>
    <xf numFmtId="0" fontId="48" fillId="0" borderId="5" xfId="0" applyFont="1" applyBorder="1"/>
    <xf numFmtId="1" fontId="41" fillId="0" borderId="15" xfId="5" applyNumberFormat="1" applyFont="1" applyBorder="1" applyAlignment="1">
      <alignment horizontal="right"/>
    </xf>
    <xf numFmtId="0" fontId="48" fillId="0" borderId="4" xfId="0" applyFont="1" applyBorder="1" applyAlignment="1">
      <alignment horizontal="left"/>
    </xf>
    <xf numFmtId="0" fontId="48" fillId="0" borderId="5" xfId="0" applyFont="1" applyBorder="1" applyAlignment="1">
      <alignment horizontal="left"/>
    </xf>
    <xf numFmtId="1" fontId="7" fillId="3" borderId="4" xfId="0" applyNumberFormat="1" applyFont="1" applyFill="1" applyBorder="1" applyAlignment="1">
      <alignment horizontal="right"/>
    </xf>
    <xf numFmtId="1" fontId="7" fillId="3" borderId="23" xfId="0" applyNumberFormat="1" applyFont="1" applyFill="1" applyBorder="1" applyAlignment="1">
      <alignment horizontal="right"/>
    </xf>
    <xf numFmtId="1" fontId="2" fillId="0" borderId="0" xfId="0" applyNumberFormat="1" applyFont="1" applyAlignment="1">
      <alignment horizontal="right"/>
    </xf>
    <xf numFmtId="1" fontId="2" fillId="0" borderId="2" xfId="0" applyNumberFormat="1" applyFont="1" applyBorder="1" applyAlignment="1">
      <alignment horizontal="right"/>
    </xf>
    <xf numFmtId="165" fontId="7" fillId="3" borderId="4" xfId="0" applyNumberFormat="1" applyFont="1" applyFill="1" applyBorder="1"/>
    <xf numFmtId="0" fontId="39" fillId="0" borderId="1" xfId="0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8" fillId="0" borderId="28" xfId="0" applyFont="1" applyBorder="1" applyAlignment="1">
      <alignment wrapText="1"/>
    </xf>
    <xf numFmtId="0" fontId="48" fillId="0" borderId="28" xfId="0" applyFont="1" applyBorder="1" applyAlignment="1">
      <alignment horizontal="left" vertical="center"/>
    </xf>
    <xf numFmtId="49" fontId="7" fillId="3" borderId="4" xfId="0" applyNumberFormat="1" applyFont="1" applyFill="1" applyBorder="1" applyAlignment="1">
      <alignment wrapText="1"/>
    </xf>
    <xf numFmtId="0" fontId="39" fillId="3" borderId="4" xfId="0" applyFont="1" applyFill="1" applyBorder="1" applyAlignment="1">
      <alignment wrapText="1"/>
    </xf>
    <xf numFmtId="49" fontId="0" fillId="3" borderId="4" xfId="0" applyNumberFormat="1" applyFill="1" applyBorder="1"/>
    <xf numFmtId="49" fontId="39" fillId="0" borderId="4" xfId="0" applyNumberFormat="1" applyFont="1" applyBorder="1" applyAlignment="1">
      <alignment horizontal="center"/>
    </xf>
    <xf numFmtId="0" fontId="42" fillId="0" borderId="1" xfId="0" applyFont="1" applyBorder="1" applyAlignment="1">
      <alignment horizontal="left" vertical="center"/>
    </xf>
    <xf numFmtId="0" fontId="48" fillId="0" borderId="28" xfId="0" applyFont="1" applyBorder="1"/>
    <xf numFmtId="0" fontId="42" fillId="0" borderId="4" xfId="0" applyFont="1" applyBorder="1" applyAlignment="1">
      <alignment horizontal="left" vertical="center"/>
    </xf>
    <xf numFmtId="0" fontId="42" fillId="3" borderId="4" xfId="0" applyFont="1" applyFill="1" applyBorder="1" applyAlignment="1">
      <alignment horizontal="left" vertical="center"/>
    </xf>
    <xf numFmtId="164" fontId="40" fillId="0" borderId="79" xfId="5" applyNumberFormat="1" applyFont="1" applyBorder="1" applyAlignment="1">
      <alignment horizontal="center" vertical="center" wrapText="1"/>
    </xf>
    <xf numFmtId="1" fontId="39" fillId="0" borderId="62" xfId="5" applyNumberFormat="1" applyFont="1" applyBorder="1" applyAlignment="1">
      <alignment horizontal="right"/>
    </xf>
    <xf numFmtId="1" fontId="40" fillId="0" borderId="60" xfId="5" applyNumberFormat="1" applyFont="1" applyBorder="1" applyAlignment="1">
      <alignment horizontal="center" vertical="center" wrapText="1"/>
    </xf>
    <xf numFmtId="166" fontId="56" fillId="0" borderId="44" xfId="0" applyNumberFormat="1" applyFont="1" applyBorder="1" applyAlignment="1">
      <alignment horizontal="left"/>
    </xf>
    <xf numFmtId="0" fontId="7" fillId="0" borderId="74" xfId="0" applyFont="1" applyBorder="1"/>
    <xf numFmtId="3" fontId="0" fillId="0" borderId="12" xfId="0" applyNumberFormat="1" applyBorder="1"/>
    <xf numFmtId="0" fontId="59" fillId="0" borderId="0" xfId="0" applyFont="1" applyAlignment="1">
      <alignment horizontal="center" wrapText="1"/>
    </xf>
    <xf numFmtId="0" fontId="72" fillId="0" borderId="0" xfId="0" applyFont="1" applyAlignment="1">
      <alignment horizontal="center"/>
    </xf>
    <xf numFmtId="6" fontId="62" fillId="0" borderId="0" xfId="0" applyNumberFormat="1" applyFont="1"/>
    <xf numFmtId="6" fontId="58" fillId="0" borderId="0" xfId="0" applyNumberFormat="1" applyFont="1"/>
    <xf numFmtId="166" fontId="57" fillId="0" borderId="62" xfId="0" applyNumberFormat="1" applyFont="1" applyBorder="1"/>
    <xf numFmtId="166" fontId="57" fillId="0" borderId="56" xfId="0" applyNumberFormat="1" applyFont="1" applyBorder="1"/>
    <xf numFmtId="0" fontId="57" fillId="0" borderId="30" xfId="0" applyFont="1" applyBorder="1"/>
    <xf numFmtId="166" fontId="57" fillId="0" borderId="30" xfId="0" applyNumberFormat="1" applyFont="1" applyBorder="1"/>
    <xf numFmtId="166" fontId="62" fillId="0" borderId="0" xfId="0" applyNumberFormat="1" applyFont="1"/>
    <xf numFmtId="6" fontId="62" fillId="0" borderId="75" xfId="0" applyNumberFormat="1" applyFont="1" applyBorder="1"/>
    <xf numFmtId="6" fontId="58" fillId="0" borderId="73" xfId="0" applyNumberFormat="1" applyFont="1" applyBorder="1"/>
    <xf numFmtId="166" fontId="57" fillId="0" borderId="0" xfId="0" applyNumberFormat="1" applyFont="1"/>
    <xf numFmtId="166" fontId="8" fillId="0" borderId="44" xfId="0" applyNumberFormat="1" applyFont="1" applyBorder="1"/>
    <xf numFmtId="6" fontId="63" fillId="0" borderId="44" xfId="0" applyNumberFormat="1" applyFont="1" applyBorder="1"/>
    <xf numFmtId="166" fontId="16" fillId="0" borderId="0" xfId="0" applyNumberFormat="1" applyFont="1"/>
    <xf numFmtId="1" fontId="46" fillId="0" borderId="44" xfId="0" applyNumberFormat="1" applyFont="1" applyBorder="1"/>
    <xf numFmtId="1" fontId="7" fillId="0" borderId="3" xfId="0" quotePrefix="1" applyNumberFormat="1" applyFont="1" applyBorder="1" applyAlignment="1">
      <alignment horizontal="left"/>
    </xf>
    <xf numFmtId="1" fontId="7" fillId="0" borderId="0" xfId="0" applyNumberFormat="1" applyFont="1"/>
    <xf numFmtId="1" fontId="7" fillId="0" borderId="0" xfId="0" quotePrefix="1" applyNumberFormat="1" applyFont="1" applyAlignment="1">
      <alignment horizontal="left"/>
    </xf>
    <xf numFmtId="1" fontId="46" fillId="0" borderId="44" xfId="0" applyNumberFormat="1" applyFont="1" applyBorder="1" applyAlignment="1">
      <alignment horizontal="left"/>
    </xf>
    <xf numFmtId="1" fontId="38" fillId="0" borderId="27" xfId="0" applyNumberFormat="1" applyFont="1" applyBorder="1"/>
    <xf numFmtId="1" fontId="7" fillId="0" borderId="2" xfId="0" applyNumberFormat="1" applyFont="1" applyBorder="1"/>
    <xf numFmtId="1" fontId="7" fillId="0" borderId="2" xfId="0" applyNumberFormat="1" applyFont="1" applyBorder="1" applyAlignment="1">
      <alignment horizontal="left"/>
    </xf>
    <xf numFmtId="1" fontId="9" fillId="0" borderId="62" xfId="0" applyNumberFormat="1" applyFont="1" applyBorder="1"/>
    <xf numFmtId="1" fontId="4" fillId="0" borderId="0" xfId="0" applyNumberFormat="1" applyFont="1"/>
    <xf numFmtId="1" fontId="9" fillId="0" borderId="0" xfId="0" applyNumberFormat="1" applyFont="1"/>
    <xf numFmtId="1" fontId="4" fillId="0" borderId="44" xfId="0" applyNumberFormat="1" applyFont="1" applyBorder="1"/>
    <xf numFmtId="0" fontId="7" fillId="0" borderId="76" xfId="0" applyFont="1" applyBorder="1" applyAlignment="1">
      <alignment horizontal="center" wrapText="1"/>
    </xf>
    <xf numFmtId="1" fontId="13" fillId="0" borderId="0" xfId="0" applyNumberFormat="1" applyFont="1"/>
    <xf numFmtId="1" fontId="14" fillId="0" borderId="3" xfId="0" applyNumberFormat="1" applyFont="1" applyBorder="1"/>
    <xf numFmtId="1" fontId="14" fillId="0" borderId="0" xfId="0" applyNumberFormat="1" applyFont="1"/>
    <xf numFmtId="1" fontId="14" fillId="0" borderId="50" xfId="0" applyNumberFormat="1" applyFont="1" applyBorder="1"/>
    <xf numFmtId="1" fontId="14" fillId="0" borderId="2" xfId="0" applyNumberFormat="1" applyFont="1" applyBorder="1"/>
    <xf numFmtId="0" fontId="39" fillId="0" borderId="0" xfId="0" applyFont="1" applyAlignment="1">
      <alignment horizontal="center" vertical="center"/>
    </xf>
    <xf numFmtId="0" fontId="39" fillId="0" borderId="0" xfId="0" applyFont="1" applyAlignment="1">
      <alignment wrapText="1"/>
    </xf>
    <xf numFmtId="3" fontId="8" fillId="0" borderId="4" xfId="0" applyNumberFormat="1" applyFont="1" applyBorder="1"/>
    <xf numFmtId="0" fontId="51" fillId="0" borderId="30" xfId="0" applyFont="1" applyBorder="1" applyAlignment="1">
      <alignment horizontal="center"/>
    </xf>
    <xf numFmtId="10" fontId="42" fillId="0" borderId="12" xfId="0" applyNumberFormat="1" applyFont="1" applyBorder="1"/>
    <xf numFmtId="166" fontId="51" fillId="0" borderId="48" xfId="0" applyNumberFormat="1" applyFont="1" applyBorder="1" applyAlignment="1">
      <alignment horizontal="left"/>
    </xf>
    <xf numFmtId="166" fontId="51" fillId="0" borderId="30" xfId="0" applyNumberFormat="1" applyFont="1" applyBorder="1" applyAlignment="1">
      <alignment horizontal="center"/>
    </xf>
    <xf numFmtId="166" fontId="51" fillId="0" borderId="30" xfId="0" applyNumberFormat="1" applyFont="1" applyBorder="1" applyAlignment="1">
      <alignment horizontal="right"/>
    </xf>
    <xf numFmtId="0" fontId="0" fillId="0" borderId="4" xfId="0" applyBorder="1" applyAlignment="1">
      <alignment wrapText="1"/>
    </xf>
    <xf numFmtId="0" fontId="49" fillId="0" borderId="4" xfId="0" applyFont="1" applyBorder="1" applyAlignment="1">
      <alignment horizontal="right"/>
    </xf>
    <xf numFmtId="166" fontId="55" fillId="0" borderId="4" xfId="0" applyNumberFormat="1" applyFont="1" applyBorder="1" applyAlignment="1">
      <alignment horizontal="center"/>
    </xf>
    <xf numFmtId="166" fontId="55" fillId="0" borderId="4" xfId="0" applyNumberFormat="1" applyFont="1" applyBorder="1" applyAlignment="1">
      <alignment horizontal="left"/>
    </xf>
    <xf numFmtId="0" fontId="53" fillId="0" borderId="48" xfId="0" applyFont="1" applyBorder="1"/>
    <xf numFmtId="49" fontId="49" fillId="0" borderId="8" xfId="0" applyNumberFormat="1" applyFont="1" applyBorder="1" applyAlignment="1">
      <alignment horizontal="center"/>
    </xf>
    <xf numFmtId="1" fontId="76" fillId="0" borderId="11" xfId="3" applyNumberFormat="1" applyFont="1" applyBorder="1"/>
    <xf numFmtId="166" fontId="56" fillId="0" borderId="44" xfId="0" applyNumberFormat="1" applyFont="1" applyBorder="1" applyAlignment="1">
      <alignment horizontal="left" wrapText="1"/>
    </xf>
    <xf numFmtId="42" fontId="77" fillId="0" borderId="0" xfId="0" applyNumberFormat="1" applyFont="1"/>
    <xf numFmtId="0" fontId="0" fillId="0" borderId="30" xfId="0" applyBorder="1" applyAlignment="1">
      <alignment horizontal="center"/>
    </xf>
    <xf numFmtId="49" fontId="48" fillId="0" borderId="8" xfId="0" applyNumberFormat="1" applyFont="1" applyBorder="1" applyAlignment="1">
      <alignment horizontal="center" vertical="center"/>
    </xf>
    <xf numFmtId="0" fontId="48" fillId="0" borderId="9" xfId="0" applyFont="1" applyBorder="1" applyAlignment="1">
      <alignment wrapText="1"/>
    </xf>
    <xf numFmtId="165" fontId="71" fillId="0" borderId="0" xfId="0" applyNumberFormat="1" applyFont="1"/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5" xfId="0" applyFont="1" applyBorder="1"/>
    <xf numFmtId="0" fontId="7" fillId="0" borderId="4" xfId="0" applyFont="1" applyBorder="1" applyAlignment="1">
      <alignment horizontal="left"/>
    </xf>
    <xf numFmtId="0" fontId="7" fillId="0" borderId="5" xfId="0" applyFont="1" applyBorder="1"/>
    <xf numFmtId="0" fontId="7" fillId="0" borderId="37" xfId="0" applyFont="1" applyBorder="1"/>
    <xf numFmtId="0" fontId="7" fillId="0" borderId="5" xfId="0" applyFont="1" applyBorder="1" applyAlignment="1">
      <alignment horizontal="left"/>
    </xf>
    <xf numFmtId="0" fontId="7" fillId="0" borderId="3" xfId="0" applyFont="1" applyBorder="1"/>
    <xf numFmtId="0" fontId="7" fillId="0" borderId="41" xfId="0" applyFont="1" applyBorder="1"/>
    <xf numFmtId="0" fontId="7" fillId="0" borderId="42" xfId="0" applyFont="1" applyBorder="1"/>
    <xf numFmtId="0" fontId="7" fillId="0" borderId="12" xfId="0" applyFont="1" applyBorder="1"/>
    <xf numFmtId="0" fontId="7" fillId="0" borderId="39" xfId="0" applyFont="1" applyBorder="1"/>
    <xf numFmtId="0" fontId="7" fillId="0" borderId="18" xfId="0" quotePrefix="1" applyFont="1" applyBorder="1" applyAlignment="1">
      <alignment horizontal="left"/>
    </xf>
    <xf numFmtId="0" fontId="7" fillId="0" borderId="26" xfId="0" applyFont="1" applyBorder="1"/>
    <xf numFmtId="166" fontId="78" fillId="0" borderId="62" xfId="0" applyNumberFormat="1" applyFont="1" applyBorder="1"/>
    <xf numFmtId="166" fontId="78" fillId="0" borderId="78" xfId="0" applyNumberFormat="1" applyFont="1" applyBorder="1"/>
    <xf numFmtId="166" fontId="78" fillId="0" borderId="30" xfId="0" applyNumberFormat="1" applyFont="1" applyBorder="1"/>
    <xf numFmtId="166" fontId="56" fillId="0" borderId="45" xfId="0" applyNumberFormat="1" applyFont="1" applyBorder="1" applyAlignment="1">
      <alignment horizontal="right"/>
    </xf>
    <xf numFmtId="0" fontId="55" fillId="0" borderId="44" xfId="0" applyFont="1" applyBorder="1"/>
    <xf numFmtId="0" fontId="56" fillId="0" borderId="33" xfId="0" applyFont="1" applyBorder="1" applyAlignment="1">
      <alignment wrapText="1"/>
    </xf>
    <xf numFmtId="0" fontId="56" fillId="0" borderId="44" xfId="0" applyFont="1" applyBorder="1" applyAlignment="1">
      <alignment horizontal="left"/>
    </xf>
    <xf numFmtId="0" fontId="56" fillId="0" borderId="44" xfId="0" applyFont="1" applyBorder="1" applyAlignment="1">
      <alignment horizontal="left" wrapText="1"/>
    </xf>
    <xf numFmtId="166" fontId="56" fillId="0" borderId="33" xfId="0" applyNumberFormat="1" applyFont="1" applyBorder="1" applyAlignment="1">
      <alignment horizontal="left" wrapText="1"/>
    </xf>
    <xf numFmtId="1" fontId="56" fillId="0" borderId="34" xfId="0" applyNumberFormat="1" applyFont="1" applyBorder="1" applyAlignment="1">
      <alignment horizontal="right"/>
    </xf>
    <xf numFmtId="0" fontId="35" fillId="0" borderId="8" xfId="0" applyFont="1" applyBorder="1"/>
    <xf numFmtId="1" fontId="35" fillId="0" borderId="9" xfId="0" applyNumberFormat="1" applyFont="1" applyBorder="1"/>
    <xf numFmtId="0" fontId="4" fillId="0" borderId="16" xfId="0" applyFont="1" applyBorder="1"/>
    <xf numFmtId="1" fontId="12" fillId="0" borderId="4" xfId="0" applyNumberFormat="1" applyFont="1" applyBorder="1"/>
    <xf numFmtId="0" fontId="12" fillId="0" borderId="16" xfId="0" applyFont="1" applyBorder="1"/>
    <xf numFmtId="0" fontId="12" fillId="0" borderId="16" xfId="0" applyFont="1" applyBorder="1" applyAlignment="1">
      <alignment wrapText="1"/>
    </xf>
    <xf numFmtId="0" fontId="12" fillId="0" borderId="11" xfId="0" applyFont="1" applyBorder="1" applyAlignment="1">
      <alignment wrapText="1"/>
    </xf>
    <xf numFmtId="0" fontId="9" fillId="0" borderId="19" xfId="0" applyFont="1" applyBorder="1"/>
    <xf numFmtId="49" fontId="48" fillId="0" borderId="8" xfId="0" applyNumberFormat="1" applyFont="1" applyBorder="1" applyAlignment="1">
      <alignment horizontal="left" wrapText="1"/>
    </xf>
    <xf numFmtId="0" fontId="56" fillId="0" borderId="48" xfId="0" applyFont="1" applyBorder="1" applyAlignment="1">
      <alignment wrapText="1"/>
    </xf>
    <xf numFmtId="1" fontId="56" fillId="0" borderId="36" xfId="0" applyNumberFormat="1" applyFont="1" applyBorder="1" applyAlignment="1">
      <alignment horizontal="right" wrapText="1"/>
    </xf>
    <xf numFmtId="0" fontId="56" fillId="0" borderId="36" xfId="0" applyFont="1" applyBorder="1" applyAlignment="1">
      <alignment horizontal="right"/>
    </xf>
    <xf numFmtId="166" fontId="55" fillId="0" borderId="34" xfId="0" applyNumberFormat="1" applyFont="1" applyBorder="1" applyAlignment="1">
      <alignment horizontal="center"/>
    </xf>
    <xf numFmtId="166" fontId="55" fillId="0" borderId="35" xfId="0" applyNumberFormat="1" applyFont="1" applyBorder="1" applyAlignment="1">
      <alignment horizontal="center"/>
    </xf>
    <xf numFmtId="166" fontId="55" fillId="0" borderId="33" xfId="0" applyNumberFormat="1" applyFont="1" applyBorder="1" applyAlignment="1">
      <alignment horizontal="left"/>
    </xf>
    <xf numFmtId="0" fontId="56" fillId="0" borderId="44" xfId="0" applyFont="1" applyBorder="1"/>
    <xf numFmtId="166" fontId="56" fillId="0" borderId="48" xfId="0" applyNumberFormat="1" applyFont="1" applyBorder="1" applyAlignment="1">
      <alignment horizontal="left" wrapText="1"/>
    </xf>
    <xf numFmtId="0" fontId="56" fillId="0" borderId="48" xfId="0" applyFont="1" applyBorder="1" applyAlignment="1">
      <alignment horizontal="left"/>
    </xf>
    <xf numFmtId="1" fontId="56" fillId="0" borderId="36" xfId="0" applyNumberFormat="1" applyFont="1" applyBorder="1" applyAlignment="1">
      <alignment horizontal="right"/>
    </xf>
    <xf numFmtId="1" fontId="8" fillId="0" borderId="4" xfId="0" applyNumberFormat="1" applyFont="1" applyBorder="1" applyAlignment="1">
      <alignment horizontal="right" wrapText="1"/>
    </xf>
    <xf numFmtId="1" fontId="0" fillId="0" borderId="77" xfId="0" applyNumberFormat="1" applyBorder="1"/>
    <xf numFmtId="0" fontId="8" fillId="0" borderId="1" xfId="0" applyFont="1" applyBorder="1"/>
    <xf numFmtId="0" fontId="8" fillId="0" borderId="28" xfId="0" applyFont="1" applyBorder="1"/>
    <xf numFmtId="1" fontId="7" fillId="0" borderId="74" xfId="0" applyNumberFormat="1" applyFont="1" applyBorder="1"/>
    <xf numFmtId="0" fontId="0" fillId="0" borderId="26" xfId="0" applyBorder="1"/>
    <xf numFmtId="0" fontId="7" fillId="0" borderId="77" xfId="0" applyFont="1" applyBorder="1"/>
    <xf numFmtId="0" fontId="8" fillId="0" borderId="26" xfId="0" applyFont="1" applyBorder="1"/>
    <xf numFmtId="1" fontId="0" fillId="0" borderId="41" xfId="0" applyNumberFormat="1" applyBorder="1"/>
    <xf numFmtId="1" fontId="0" fillId="0" borderId="4" xfId="0" applyNumberFormat="1" applyBorder="1"/>
    <xf numFmtId="0" fontId="8" fillId="0" borderId="19" xfId="0" applyFont="1" applyBorder="1"/>
    <xf numFmtId="0" fontId="8" fillId="0" borderId="14" xfId="0" applyFont="1" applyBorder="1"/>
    <xf numFmtId="0" fontId="8" fillId="0" borderId="16" xfId="0" applyFont="1" applyBorder="1"/>
    <xf numFmtId="0" fontId="8" fillId="0" borderId="54" xfId="0" applyFont="1" applyBorder="1"/>
    <xf numFmtId="1" fontId="0" fillId="0" borderId="12" xfId="0" applyNumberFormat="1" applyBorder="1"/>
    <xf numFmtId="1" fontId="12" fillId="0" borderId="43" xfId="0" applyNumberFormat="1" applyFont="1" applyBorder="1"/>
    <xf numFmtId="0" fontId="12" fillId="0" borderId="12" xfId="0" applyFont="1" applyBorder="1"/>
    <xf numFmtId="0" fontId="56" fillId="0" borderId="0" xfId="0" applyFont="1" applyAlignment="1">
      <alignment wrapText="1"/>
    </xf>
    <xf numFmtId="0" fontId="5" fillId="0" borderId="18" xfId="0" applyFont="1" applyBorder="1"/>
    <xf numFmtId="0" fontId="5" fillId="0" borderId="22" xfId="0" applyFont="1" applyBorder="1"/>
    <xf numFmtId="166" fontId="55" fillId="0" borderId="0" xfId="0" applyNumberFormat="1" applyFont="1" applyAlignment="1">
      <alignment horizontal="right"/>
    </xf>
    <xf numFmtId="0" fontId="2" fillId="0" borderId="54" xfId="0" applyFont="1" applyBorder="1"/>
    <xf numFmtId="0" fontId="12" fillId="0" borderId="43" xfId="0" applyFont="1" applyBorder="1"/>
    <xf numFmtId="0" fontId="12" fillId="0" borderId="4" xfId="0" applyFont="1" applyBorder="1"/>
    <xf numFmtId="164" fontId="40" fillId="0" borderId="60" xfId="5" applyNumberFormat="1" applyFont="1" applyBorder="1" applyAlignment="1">
      <alignment horizontal="center" wrapText="1"/>
    </xf>
    <xf numFmtId="164" fontId="40" fillId="0" borderId="62" xfId="5" applyNumberFormat="1" applyFont="1" applyBorder="1" applyAlignment="1">
      <alignment horizontal="center" wrapText="1"/>
    </xf>
    <xf numFmtId="164" fontId="40" fillId="0" borderId="41" xfId="5" applyNumberFormat="1" applyFont="1" applyBorder="1" applyAlignment="1">
      <alignment horizontal="center"/>
    </xf>
    <xf numFmtId="49" fontId="48" fillId="0" borderId="8" xfId="0" applyNumberFormat="1" applyFont="1" applyBorder="1" applyAlignment="1">
      <alignment horizontal="center"/>
    </xf>
    <xf numFmtId="0" fontId="2" fillId="0" borderId="16" xfId="0" applyFont="1" applyBorder="1"/>
    <xf numFmtId="49" fontId="79" fillId="0" borderId="16" xfId="0" applyNumberFormat="1" applyFont="1" applyBorder="1" applyAlignment="1">
      <alignment horizontal="center" vertical="center"/>
    </xf>
    <xf numFmtId="0" fontId="79" fillId="0" borderId="4" xfId="0" applyFont="1" applyBorder="1" applyAlignment="1">
      <alignment wrapText="1"/>
    </xf>
    <xf numFmtId="49" fontId="79" fillId="0" borderId="11" xfId="0" applyNumberFormat="1" applyFont="1" applyBorder="1" applyAlignment="1">
      <alignment horizontal="center" vertical="center"/>
    </xf>
    <xf numFmtId="0" fontId="79" fillId="0" borderId="12" xfId="0" applyFont="1" applyBorder="1" applyAlignment="1">
      <alignment wrapText="1"/>
    </xf>
    <xf numFmtId="49" fontId="79" fillId="0" borderId="16" xfId="0" applyNumberFormat="1" applyFont="1" applyBorder="1" applyAlignment="1">
      <alignment horizontal="center"/>
    </xf>
    <xf numFmtId="49" fontId="79" fillId="0" borderId="11" xfId="0" applyNumberFormat="1" applyFont="1" applyBorder="1" applyAlignment="1">
      <alignment horizontal="center"/>
    </xf>
    <xf numFmtId="0" fontId="79" fillId="0" borderId="4" xfId="0" applyFont="1" applyBorder="1"/>
    <xf numFmtId="0" fontId="79" fillId="0" borderId="0" xfId="0" applyFont="1"/>
    <xf numFmtId="49" fontId="79" fillId="0" borderId="16" xfId="0" applyNumberFormat="1" applyFont="1" applyBorder="1" applyAlignment="1">
      <alignment horizontal="center" wrapText="1"/>
    </xf>
    <xf numFmtId="1" fontId="38" fillId="0" borderId="0" xfId="0" applyNumberFormat="1" applyFont="1"/>
    <xf numFmtId="0" fontId="1" fillId="0" borderId="4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41" xfId="0" applyFont="1" applyBorder="1"/>
    <xf numFmtId="0" fontId="1" fillId="0" borderId="76" xfId="0" applyFont="1" applyBorder="1"/>
    <xf numFmtId="49" fontId="7" fillId="3" borderId="43" xfId="0" applyNumberFormat="1" applyFont="1" applyFill="1" applyBorder="1" applyAlignment="1">
      <alignment wrapText="1"/>
    </xf>
    <xf numFmtId="0" fontId="39" fillId="3" borderId="43" xfId="0" applyFont="1" applyFill="1" applyBorder="1" applyAlignment="1">
      <alignment wrapText="1"/>
    </xf>
    <xf numFmtId="49" fontId="0" fillId="3" borderId="43" xfId="0" applyNumberFormat="1" applyFill="1" applyBorder="1"/>
    <xf numFmtId="0" fontId="39" fillId="3" borderId="43" xfId="0" applyFont="1" applyFill="1" applyBorder="1" applyAlignment="1">
      <alignment horizontal="left"/>
    </xf>
    <xf numFmtId="0" fontId="42" fillId="3" borderId="43" xfId="0" applyFont="1" applyFill="1" applyBorder="1" applyAlignment="1">
      <alignment horizontal="left" vertical="center"/>
    </xf>
    <xf numFmtId="0" fontId="53" fillId="0" borderId="30" xfId="0" applyFont="1" applyBorder="1"/>
    <xf numFmtId="0" fontId="56" fillId="0" borderId="34" xfId="0" applyFont="1" applyBorder="1"/>
    <xf numFmtId="166" fontId="56" fillId="0" borderId="0" xfId="0" applyNumberFormat="1" applyFont="1" applyAlignment="1">
      <alignment horizontal="right"/>
    </xf>
    <xf numFmtId="0" fontId="51" fillId="0" borderId="72" xfId="0" applyFont="1" applyBorder="1"/>
    <xf numFmtId="0" fontId="55" fillId="0" borderId="75" xfId="0" applyFont="1" applyBorder="1"/>
    <xf numFmtId="166" fontId="55" fillId="0" borderId="73" xfId="0" applyNumberFormat="1" applyFont="1" applyBorder="1" applyAlignment="1">
      <alignment horizontal="left"/>
    </xf>
    <xf numFmtId="166" fontId="51" fillId="0" borderId="72" xfId="0" applyNumberFormat="1" applyFont="1" applyBorder="1" applyAlignment="1">
      <alignment horizontal="left"/>
    </xf>
    <xf numFmtId="10" fontId="81" fillId="0" borderId="72" xfId="0" applyNumberFormat="1" applyFont="1" applyBorder="1"/>
    <xf numFmtId="166" fontId="54" fillId="0" borderId="36" xfId="0" applyNumberFormat="1" applyFont="1" applyBorder="1" applyAlignment="1">
      <alignment horizontal="right"/>
    </xf>
    <xf numFmtId="166" fontId="56" fillId="0" borderId="0" xfId="0" applyNumberFormat="1" applyFont="1" applyAlignment="1">
      <alignment horizontal="left"/>
    </xf>
    <xf numFmtId="166" fontId="55" fillId="0" borderId="38" xfId="0" applyNumberFormat="1" applyFont="1" applyBorder="1" applyAlignment="1">
      <alignment horizontal="center"/>
    </xf>
    <xf numFmtId="166" fontId="55" fillId="0" borderId="23" xfId="0" applyNumberFormat="1" applyFont="1" applyBorder="1" applyAlignment="1">
      <alignment horizontal="center"/>
    </xf>
    <xf numFmtId="0" fontId="56" fillId="0" borderId="11" xfId="0" applyFont="1" applyBorder="1" applyAlignment="1">
      <alignment horizontal="left"/>
    </xf>
    <xf numFmtId="1" fontId="56" fillId="0" borderId="12" xfId="0" applyNumberFormat="1" applyFont="1" applyBorder="1" applyAlignment="1">
      <alignment horizontal="right"/>
    </xf>
    <xf numFmtId="166" fontId="55" fillId="0" borderId="13" xfId="0" applyNumberFormat="1" applyFont="1" applyBorder="1" applyAlignment="1">
      <alignment horizontal="right"/>
    </xf>
    <xf numFmtId="166" fontId="56" fillId="0" borderId="13" xfId="0" applyNumberFormat="1" applyFont="1" applyBorder="1" applyAlignment="1">
      <alignment horizontal="right"/>
    </xf>
    <xf numFmtId="0" fontId="56" fillId="0" borderId="54" xfId="0" applyFont="1" applyBorder="1" applyAlignment="1">
      <alignment horizontal="left"/>
    </xf>
    <xf numFmtId="1" fontId="56" fillId="0" borderId="43" xfId="0" applyNumberFormat="1" applyFont="1" applyBorder="1" applyAlignment="1">
      <alignment horizontal="right"/>
    </xf>
    <xf numFmtId="166" fontId="55" fillId="0" borderId="55" xfId="0" applyNumberFormat="1" applyFont="1" applyBorder="1" applyAlignment="1">
      <alignment horizontal="right"/>
    </xf>
    <xf numFmtId="166" fontId="56" fillId="0" borderId="55" xfId="0" applyNumberFormat="1" applyFont="1" applyBorder="1" applyAlignment="1">
      <alignment horizontal="right"/>
    </xf>
    <xf numFmtId="166" fontId="56" fillId="0" borderId="14" xfId="0" applyNumberFormat="1" applyFont="1" applyBorder="1" applyAlignment="1">
      <alignment horizontal="left" wrapText="1"/>
    </xf>
    <xf numFmtId="0" fontId="74" fillId="0" borderId="46" xfId="0" applyFont="1" applyBorder="1"/>
    <xf numFmtId="166" fontId="78" fillId="0" borderId="47" xfId="0" applyNumberFormat="1" applyFont="1" applyBorder="1"/>
    <xf numFmtId="166" fontId="57" fillId="0" borderId="76" xfId="0" applyNumberFormat="1" applyFont="1" applyBorder="1"/>
    <xf numFmtId="166" fontId="58" fillId="0" borderId="77" xfId="0" applyNumberFormat="1" applyFont="1" applyBorder="1"/>
    <xf numFmtId="0" fontId="59" fillId="0" borderId="77" xfId="0" applyFont="1" applyBorder="1" applyAlignment="1">
      <alignment horizontal="left"/>
    </xf>
    <xf numFmtId="0" fontId="78" fillId="0" borderId="76" xfId="0" applyFont="1" applyBorder="1"/>
    <xf numFmtId="6" fontId="78" fillId="0" borderId="41" xfId="0" applyNumberFormat="1" applyFont="1" applyBorder="1"/>
    <xf numFmtId="6" fontId="78" fillId="0" borderId="77" xfId="0" applyNumberFormat="1" applyFont="1" applyBorder="1"/>
    <xf numFmtId="6" fontId="78" fillId="0" borderId="76" xfId="0" applyNumberFormat="1" applyFont="1" applyBorder="1"/>
    <xf numFmtId="6" fontId="78" fillId="0" borderId="73" xfId="0" applyNumberFormat="1" applyFont="1" applyBorder="1"/>
    <xf numFmtId="6" fontId="78" fillId="0" borderId="74" xfId="0" applyNumberFormat="1" applyFont="1" applyBorder="1"/>
    <xf numFmtId="6" fontId="59" fillId="0" borderId="32" xfId="0" applyNumberFormat="1" applyFont="1" applyBorder="1"/>
    <xf numFmtId="0" fontId="57" fillId="0" borderId="34" xfId="0" applyFont="1" applyBorder="1"/>
    <xf numFmtId="166" fontId="57" fillId="0" borderId="34" xfId="0" applyNumberFormat="1" applyFont="1" applyBorder="1"/>
    <xf numFmtId="166" fontId="78" fillId="0" borderId="34" xfId="0" applyNumberFormat="1" applyFont="1" applyBorder="1"/>
    <xf numFmtId="166" fontId="78" fillId="0" borderId="76" xfId="0" applyNumberFormat="1" applyFont="1" applyBorder="1"/>
    <xf numFmtId="0" fontId="57" fillId="0" borderId="77" xfId="0" applyFont="1" applyBorder="1"/>
    <xf numFmtId="166" fontId="57" fillId="0" borderId="77" xfId="0" applyNumberFormat="1" applyFont="1" applyBorder="1"/>
    <xf numFmtId="166" fontId="78" fillId="0" borderId="77" xfId="0" applyNumberFormat="1" applyFont="1" applyBorder="1"/>
    <xf numFmtId="0" fontId="74" fillId="0" borderId="76" xfId="0" applyFont="1" applyBorder="1"/>
    <xf numFmtId="10" fontId="74" fillId="0" borderId="72" xfId="0" applyNumberFormat="1" applyFont="1" applyBorder="1"/>
    <xf numFmtId="0" fontId="1" fillId="0" borderId="72" xfId="0" applyFont="1" applyBorder="1" applyAlignment="1">
      <alignment horizontal="center"/>
    </xf>
    <xf numFmtId="0" fontId="0" fillId="3" borderId="32" xfId="0" applyFill="1" applyBorder="1"/>
    <xf numFmtId="0" fontId="0" fillId="0" borderId="32" xfId="0" applyBorder="1"/>
    <xf numFmtId="0" fontId="0" fillId="3" borderId="51" xfId="0" applyFill="1" applyBorder="1"/>
    <xf numFmtId="166" fontId="51" fillId="0" borderId="0" xfId="0" applyNumberFormat="1" applyFont="1" applyAlignment="1">
      <alignment horizontal="left"/>
    </xf>
    <xf numFmtId="0" fontId="50" fillId="0" borderId="72" xfId="0" applyFont="1" applyBorder="1"/>
    <xf numFmtId="1" fontId="13" fillId="0" borderId="41" xfId="0" applyNumberFormat="1" applyFont="1" applyBorder="1"/>
    <xf numFmtId="0" fontId="2" fillId="0" borderId="26" xfId="0" applyFont="1" applyBorder="1"/>
    <xf numFmtId="0" fontId="7" fillId="0" borderId="64" xfId="0" applyFont="1" applyBorder="1"/>
    <xf numFmtId="3" fontId="9" fillId="0" borderId="21" xfId="0" applyNumberFormat="1" applyFont="1" applyBorder="1"/>
    <xf numFmtId="1" fontId="0" fillId="0" borderId="53" xfId="0" applyNumberFormat="1" applyBorder="1"/>
    <xf numFmtId="1" fontId="1" fillId="0" borderId="23" xfId="0" applyNumberFormat="1" applyFont="1" applyBorder="1"/>
    <xf numFmtId="1" fontId="1" fillId="0" borderId="55" xfId="0" applyNumberFormat="1" applyFont="1" applyBorder="1"/>
    <xf numFmtId="1" fontId="1" fillId="0" borderId="72" xfId="0" applyNumberFormat="1" applyFont="1" applyBorder="1"/>
    <xf numFmtId="3" fontId="1" fillId="0" borderId="23" xfId="0" applyNumberFormat="1" applyFont="1" applyBorder="1"/>
    <xf numFmtId="10" fontId="1" fillId="0" borderId="41" xfId="0" applyNumberFormat="1" applyFont="1" applyBorder="1"/>
    <xf numFmtId="10" fontId="1" fillId="0" borderId="71" xfId="0" applyNumberFormat="1" applyFont="1" applyBorder="1"/>
    <xf numFmtId="10" fontId="1" fillId="0" borderId="72" xfId="0" applyNumberFormat="1" applyFont="1" applyBorder="1"/>
    <xf numFmtId="1" fontId="0" fillId="0" borderId="42" xfId="0" applyNumberFormat="1" applyBorder="1"/>
    <xf numFmtId="1" fontId="7" fillId="0" borderId="32" xfId="0" applyNumberFormat="1" applyFont="1" applyBorder="1"/>
    <xf numFmtId="1" fontId="0" fillId="0" borderId="37" xfId="0" applyNumberFormat="1" applyBorder="1"/>
    <xf numFmtId="3" fontId="0" fillId="0" borderId="51" xfId="0" applyNumberFormat="1" applyBorder="1"/>
    <xf numFmtId="3" fontId="0" fillId="0" borderId="25" xfId="0" applyNumberFormat="1" applyBorder="1"/>
    <xf numFmtId="3" fontId="0" fillId="0" borderId="39" xfId="0" applyNumberFormat="1" applyBorder="1"/>
    <xf numFmtId="3" fontId="0" fillId="0" borderId="37" xfId="0" applyNumberFormat="1" applyBorder="1"/>
    <xf numFmtId="3" fontId="1" fillId="0" borderId="45" xfId="0" applyNumberFormat="1" applyFont="1" applyBorder="1"/>
    <xf numFmtId="3" fontId="1" fillId="0" borderId="32" xfId="0" applyNumberFormat="1" applyFont="1" applyBorder="1"/>
    <xf numFmtId="0" fontId="1" fillId="0" borderId="45" xfId="0" applyFont="1" applyBorder="1"/>
    <xf numFmtId="1" fontId="0" fillId="0" borderId="39" xfId="0" applyNumberFormat="1" applyBorder="1"/>
    <xf numFmtId="0" fontId="1" fillId="0" borderId="46" xfId="0" applyFont="1" applyBorder="1" applyAlignment="1">
      <alignment horizontal="center"/>
    </xf>
    <xf numFmtId="1" fontId="9" fillId="0" borderId="78" xfId="0" applyNumberFormat="1" applyFont="1" applyBorder="1"/>
    <xf numFmtId="0" fontId="5" fillId="0" borderId="31" xfId="0" applyFont="1" applyBorder="1"/>
    <xf numFmtId="0" fontId="1" fillId="0" borderId="76" xfId="0" applyFont="1" applyBorder="1" applyAlignment="1">
      <alignment horizontal="center" wrapText="1"/>
    </xf>
    <xf numFmtId="1" fontId="4" fillId="0" borderId="41" xfId="0" applyNumberFormat="1" applyFont="1" applyBorder="1"/>
    <xf numFmtId="10" fontId="9" fillId="0" borderId="41" xfId="0" applyNumberFormat="1" applyFont="1" applyBorder="1"/>
    <xf numFmtId="1" fontId="4" fillId="0" borderId="16" xfId="0" applyNumberFormat="1" applyFont="1" applyBorder="1"/>
    <xf numFmtId="1" fontId="12" fillId="0" borderId="16" xfId="0" applyNumberFormat="1" applyFont="1" applyBorder="1"/>
    <xf numFmtId="1" fontId="12" fillId="0" borderId="54" xfId="0" applyNumberFormat="1" applyFont="1" applyBorder="1"/>
    <xf numFmtId="1" fontId="5" fillId="0" borderId="18" xfId="0" applyNumberFormat="1" applyFont="1" applyBorder="1"/>
    <xf numFmtId="49" fontId="79" fillId="0" borderId="8" xfId="0" applyNumberFormat="1" applyFont="1" applyBorder="1" applyAlignment="1">
      <alignment horizontal="center" vertical="center"/>
    </xf>
    <xf numFmtId="0" fontId="79" fillId="0" borderId="9" xfId="0" applyFont="1" applyBorder="1" applyAlignment="1">
      <alignment horizontal="left" vertical="center"/>
    </xf>
    <xf numFmtId="49" fontId="79" fillId="0" borderId="8" xfId="0" applyNumberFormat="1" applyFont="1" applyBorder="1" applyAlignment="1">
      <alignment horizontal="left" wrapText="1"/>
    </xf>
    <xf numFmtId="0" fontId="79" fillId="0" borderId="9" xfId="0" applyFont="1" applyBorder="1"/>
    <xf numFmtId="49" fontId="79" fillId="0" borderId="16" xfId="0" applyNumberFormat="1" applyFont="1" applyBorder="1" applyAlignment="1">
      <alignment horizontal="left" wrapText="1"/>
    </xf>
    <xf numFmtId="0" fontId="79" fillId="0" borderId="4" xfId="0" applyFont="1" applyBorder="1" applyAlignment="1">
      <alignment horizontal="left" vertical="center"/>
    </xf>
    <xf numFmtId="0" fontId="56" fillId="0" borderId="75" xfId="0" applyFont="1" applyBorder="1"/>
    <xf numFmtId="0" fontId="56" fillId="0" borderId="73" xfId="0" applyFont="1" applyBorder="1"/>
    <xf numFmtId="0" fontId="56" fillId="0" borderId="20" xfId="0" applyFont="1" applyBorder="1"/>
    <xf numFmtId="0" fontId="56" fillId="0" borderId="45" xfId="0" applyFont="1" applyBorder="1"/>
    <xf numFmtId="0" fontId="55" fillId="0" borderId="72" xfId="0" applyFont="1" applyBorder="1"/>
    <xf numFmtId="166" fontId="55" fillId="0" borderId="72" xfId="0" applyNumberFormat="1" applyFont="1" applyBorder="1"/>
    <xf numFmtId="10" fontId="55" fillId="0" borderId="0" xfId="0" applyNumberFormat="1" applyFont="1"/>
    <xf numFmtId="0" fontId="4" fillId="0" borderId="41" xfId="0" applyFont="1" applyBorder="1"/>
    <xf numFmtId="0" fontId="4" fillId="0" borderId="77" xfId="0" applyFont="1" applyBorder="1"/>
    <xf numFmtId="164" fontId="40" fillId="0" borderId="6" xfId="5" applyNumberFormat="1" applyFont="1" applyBorder="1" applyAlignment="1">
      <alignment horizontal="center" wrapText="1"/>
    </xf>
    <xf numFmtId="164" fontId="40" fillId="0" borderId="7" xfId="5" applyNumberFormat="1" applyFont="1" applyBorder="1" applyAlignment="1">
      <alignment horizontal="center" wrapText="1"/>
    </xf>
    <xf numFmtId="49" fontId="48" fillId="0" borderId="16" xfId="0" applyNumberFormat="1" applyFont="1" applyBorder="1" applyAlignment="1">
      <alignment horizontal="center" wrapText="1"/>
    </xf>
    <xf numFmtId="164" fontId="40" fillId="0" borderId="73" xfId="5" applyNumberFormat="1" applyFont="1" applyBorder="1" applyAlignment="1">
      <alignment horizontal="center"/>
    </xf>
    <xf numFmtId="0" fontId="48" fillId="0" borderId="9" xfId="0" applyFont="1" applyBorder="1"/>
    <xf numFmtId="49" fontId="50" fillId="0" borderId="16" xfId="0" applyNumberFormat="1" applyFont="1" applyBorder="1" applyAlignment="1">
      <alignment horizontal="center"/>
    </xf>
    <xf numFmtId="1" fontId="38" fillId="0" borderId="41" xfId="0" applyNumberFormat="1" applyFont="1" applyBorder="1"/>
    <xf numFmtId="1" fontId="13" fillId="0" borderId="75" xfId="0" applyNumberFormat="1" applyFont="1" applyBorder="1"/>
    <xf numFmtId="1" fontId="13" fillId="0" borderId="73" xfId="0" applyNumberFormat="1" applyFont="1" applyBorder="1"/>
    <xf numFmtId="1" fontId="13" fillId="0" borderId="42" xfId="0" applyNumberFormat="1" applyFont="1" applyBorder="1"/>
    <xf numFmtId="1" fontId="13" fillId="0" borderId="71" xfId="0" applyNumberFormat="1" applyFont="1" applyBorder="1"/>
    <xf numFmtId="1" fontId="14" fillId="0" borderId="73" xfId="0" applyNumberFormat="1" applyFont="1" applyBorder="1"/>
    <xf numFmtId="1" fontId="7" fillId="0" borderId="73" xfId="0" applyNumberFormat="1" applyFont="1" applyBorder="1"/>
    <xf numFmtId="1" fontId="13" fillId="0" borderId="74" xfId="0" applyNumberFormat="1" applyFont="1" applyBorder="1"/>
    <xf numFmtId="10" fontId="5" fillId="0" borderId="72" xfId="0" applyNumberFormat="1" applyFont="1" applyBorder="1"/>
    <xf numFmtId="1" fontId="0" fillId="0" borderId="76" xfId="0" applyNumberFormat="1" applyBorder="1"/>
    <xf numFmtId="0" fontId="0" fillId="0" borderId="72" xfId="0" applyBorder="1"/>
    <xf numFmtId="1" fontId="0" fillId="0" borderId="25" xfId="0" applyNumberFormat="1" applyBorder="1"/>
    <xf numFmtId="0" fontId="0" fillId="0" borderId="39" xfId="0" applyBorder="1"/>
    <xf numFmtId="1" fontId="0" fillId="0" borderId="38" xfId="0" applyNumberFormat="1" applyBorder="1"/>
    <xf numFmtId="0" fontId="7" fillId="0" borderId="63" xfId="0" applyFont="1" applyBorder="1"/>
    <xf numFmtId="0" fontId="0" fillId="0" borderId="65" xfId="0" applyBorder="1"/>
    <xf numFmtId="0" fontId="0" fillId="0" borderId="63" xfId="0" applyBorder="1"/>
    <xf numFmtId="0" fontId="8" fillId="0" borderId="63" xfId="0" applyFont="1" applyBorder="1"/>
    <xf numFmtId="0" fontId="8" fillId="0" borderId="57" xfId="0" applyFont="1" applyBorder="1"/>
    <xf numFmtId="0" fontId="8" fillId="0" borderId="65" xfId="0" applyFont="1" applyBorder="1"/>
    <xf numFmtId="1" fontId="7" fillId="0" borderId="20" xfId="0" applyNumberFormat="1" applyFont="1" applyBorder="1"/>
    <xf numFmtId="0" fontId="0" fillId="0" borderId="45" xfId="0" applyBorder="1"/>
    <xf numFmtId="1" fontId="7" fillId="0" borderId="45" xfId="0" applyNumberFormat="1" applyFont="1" applyBorder="1"/>
    <xf numFmtId="1" fontId="7" fillId="0" borderId="35" xfId="0" applyNumberFormat="1" applyFont="1" applyBorder="1"/>
    <xf numFmtId="0" fontId="0" fillId="0" borderId="35" xfId="0" applyBorder="1"/>
    <xf numFmtId="0" fontId="7" fillId="0" borderId="51" xfId="0" applyFont="1" applyBorder="1"/>
    <xf numFmtId="1" fontId="0" fillId="0" borderId="60" xfId="0" applyNumberFormat="1" applyBorder="1"/>
    <xf numFmtId="1" fontId="0" fillId="0" borderId="62" xfId="0" applyNumberFormat="1" applyBorder="1"/>
    <xf numFmtId="0" fontId="7" fillId="0" borderId="21" xfId="0" applyFont="1" applyBorder="1"/>
    <xf numFmtId="0" fontId="0" fillId="0" borderId="61" xfId="0" applyBorder="1"/>
    <xf numFmtId="0" fontId="7" fillId="0" borderId="79" xfId="0" applyFont="1" applyBorder="1"/>
    <xf numFmtId="0" fontId="0" fillId="0" borderId="56" xfId="0" applyBorder="1"/>
    <xf numFmtId="1" fontId="0" fillId="0" borderId="79" xfId="0" applyNumberFormat="1" applyBorder="1"/>
    <xf numFmtId="1" fontId="0" fillId="0" borderId="61" xfId="0" applyNumberFormat="1" applyBorder="1"/>
    <xf numFmtId="1" fontId="0" fillId="0" borderId="56" xfId="0" applyNumberFormat="1" applyBorder="1"/>
    <xf numFmtId="0" fontId="2" fillId="0" borderId="72" xfId="0" applyFont="1" applyBorder="1"/>
    <xf numFmtId="0" fontId="1" fillId="0" borderId="72" xfId="0" applyFont="1" applyBorder="1"/>
    <xf numFmtId="0" fontId="79" fillId="0" borderId="12" xfId="0" applyFont="1" applyBorder="1"/>
    <xf numFmtId="0" fontId="49" fillId="0" borderId="36" xfId="0" applyFont="1" applyBorder="1"/>
    <xf numFmtId="165" fontId="49" fillId="0" borderId="0" xfId="0" applyNumberFormat="1" applyFont="1"/>
    <xf numFmtId="0" fontId="79" fillId="0" borderId="5" xfId="0" applyFont="1" applyBorder="1" applyAlignment="1">
      <alignment wrapText="1"/>
    </xf>
    <xf numFmtId="49" fontId="79" fillId="0" borderId="14" xfId="0" applyNumberFormat="1" applyFont="1" applyBorder="1" applyAlignment="1">
      <alignment horizontal="center"/>
    </xf>
    <xf numFmtId="49" fontId="79" fillId="0" borderId="11" xfId="0" applyNumberFormat="1" applyFont="1" applyBorder="1" applyAlignment="1">
      <alignment horizontal="center" wrapText="1"/>
    </xf>
    <xf numFmtId="0" fontId="79" fillId="0" borderId="36" xfId="0" applyFont="1" applyBorder="1"/>
    <xf numFmtId="49" fontId="79" fillId="0" borderId="11" xfId="0" applyNumberFormat="1" applyFont="1" applyBorder="1" applyAlignment="1">
      <alignment horizontal="left" wrapText="1"/>
    </xf>
    <xf numFmtId="166" fontId="49" fillId="0" borderId="44" xfId="0" applyNumberFormat="1" applyFont="1" applyBorder="1"/>
    <xf numFmtId="0" fontId="79" fillId="0" borderId="44" xfId="0" applyFont="1" applyBorder="1"/>
    <xf numFmtId="49" fontId="39" fillId="0" borderId="11" xfId="0" applyNumberFormat="1" applyFont="1" applyBorder="1" applyAlignment="1">
      <alignment horizontal="center" vertical="center"/>
    </xf>
    <xf numFmtId="49" fontId="42" fillId="0" borderId="11" xfId="0" applyNumberFormat="1" applyFont="1" applyBorder="1" applyAlignment="1">
      <alignment horizontal="left" wrapText="1"/>
    </xf>
    <xf numFmtId="49" fontId="42" fillId="0" borderId="11" xfId="0" applyNumberFormat="1" applyFont="1" applyBorder="1" applyAlignment="1">
      <alignment horizontal="center" wrapText="1"/>
    </xf>
    <xf numFmtId="0" fontId="42" fillId="0" borderId="44" xfId="0" applyFont="1" applyBorder="1"/>
    <xf numFmtId="0" fontId="50" fillId="0" borderId="4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6" fontId="56" fillId="0" borderId="36" xfId="0" applyNumberFormat="1" applyFont="1" applyBorder="1" applyAlignment="1">
      <alignment horizontal="right"/>
    </xf>
    <xf numFmtId="10" fontId="81" fillId="0" borderId="22" xfId="0" applyNumberFormat="1" applyFont="1" applyBorder="1"/>
    <xf numFmtId="0" fontId="1" fillId="0" borderId="37" xfId="0" applyFont="1" applyBorder="1"/>
    <xf numFmtId="6" fontId="78" fillId="0" borderId="71" xfId="0" applyNumberFormat="1" applyFont="1" applyBorder="1"/>
    <xf numFmtId="166" fontId="57" fillId="0" borderId="13" xfId="0" applyNumberFormat="1" applyFont="1" applyBorder="1"/>
    <xf numFmtId="0" fontId="39" fillId="0" borderId="5" xfId="0" applyFont="1" applyBorder="1" applyAlignment="1">
      <alignment wrapText="1"/>
    </xf>
    <xf numFmtId="0" fontId="50" fillId="0" borderId="5" xfId="0" applyFont="1" applyBorder="1" applyAlignment="1">
      <alignment wrapText="1"/>
    </xf>
    <xf numFmtId="166" fontId="84" fillId="0" borderId="0" xfId="0" applyNumberFormat="1" applyFont="1" applyAlignment="1">
      <alignment horizontal="left"/>
    </xf>
    <xf numFmtId="0" fontId="48" fillId="0" borderId="5" xfId="0" applyFont="1" applyBorder="1" applyAlignment="1">
      <alignment wrapText="1"/>
    </xf>
    <xf numFmtId="0" fontId="1" fillId="0" borderId="31" xfId="0" applyFont="1" applyBorder="1"/>
    <xf numFmtId="0" fontId="1" fillId="0" borderId="27" xfId="0" applyFont="1" applyBorder="1"/>
    <xf numFmtId="0" fontId="2" fillId="0" borderId="9" xfId="0" applyFont="1" applyBorder="1"/>
    <xf numFmtId="0" fontId="2" fillId="0" borderId="24" xfId="0" applyFont="1" applyBorder="1" applyAlignment="1">
      <alignment wrapText="1"/>
    </xf>
    <xf numFmtId="0" fontId="2" fillId="0" borderId="30" xfId="0" applyFont="1" applyBorder="1"/>
    <xf numFmtId="0" fontId="1" fillId="0" borderId="46" xfId="0" applyFont="1" applyBorder="1"/>
    <xf numFmtId="3" fontId="2" fillId="0" borderId="8" xfId="0" applyNumberFormat="1" applyFont="1" applyBorder="1"/>
    <xf numFmtId="3" fontId="2" fillId="0" borderId="10" xfId="0" applyNumberFormat="1" applyFont="1" applyBorder="1"/>
    <xf numFmtId="0" fontId="2" fillId="0" borderId="49" xfId="0" applyFont="1" applyBorder="1" applyAlignment="1">
      <alignment wrapText="1"/>
    </xf>
    <xf numFmtId="0" fontId="1" fillId="0" borderId="72" xfId="0" applyFont="1" applyBorder="1" applyAlignment="1">
      <alignment wrapText="1"/>
    </xf>
    <xf numFmtId="0" fontId="0" fillId="0" borderId="62" xfId="0" applyBorder="1" applyAlignment="1">
      <alignment horizontal="right"/>
    </xf>
    <xf numFmtId="0" fontId="0" fillId="0" borderId="62" xfId="0" applyBorder="1" applyAlignment="1">
      <alignment horizontal="center"/>
    </xf>
    <xf numFmtId="0" fontId="7" fillId="3" borderId="44" xfId="0" applyFont="1" applyFill="1" applyBorder="1" applyAlignment="1">
      <alignment wrapText="1"/>
    </xf>
    <xf numFmtId="0" fontId="85" fillId="7" borderId="0" xfId="0" applyFont="1" applyFill="1"/>
    <xf numFmtId="0" fontId="86" fillId="7" borderId="0" xfId="0" applyFont="1" applyFill="1"/>
    <xf numFmtId="0" fontId="91" fillId="7" borderId="0" xfId="0" applyFont="1" applyFill="1"/>
    <xf numFmtId="0" fontId="92" fillId="7" borderId="0" xfId="0" applyFont="1" applyFill="1"/>
    <xf numFmtId="0" fontId="93" fillId="7" borderId="0" xfId="0" applyFont="1" applyFill="1" applyAlignment="1">
      <alignment horizontal="center"/>
    </xf>
    <xf numFmtId="0" fontId="87" fillId="7" borderId="44" xfId="0" applyFont="1" applyFill="1" applyBorder="1"/>
    <xf numFmtId="0" fontId="87" fillId="7" borderId="0" xfId="0" applyFont="1" applyFill="1"/>
    <xf numFmtId="1" fontId="85" fillId="7" borderId="0" xfId="5" applyNumberFormat="1" applyFont="1" applyFill="1" applyAlignment="1">
      <alignment horizontal="right"/>
    </xf>
    <xf numFmtId="165" fontId="91" fillId="7" borderId="0" xfId="0" applyNumberFormat="1" applyFont="1" applyFill="1"/>
    <xf numFmtId="49" fontId="79" fillId="0" borderId="54" xfId="0" applyNumberFormat="1" applyFont="1" applyBorder="1" applyAlignment="1">
      <alignment horizontal="center" vertical="center"/>
    </xf>
    <xf numFmtId="0" fontId="79" fillId="0" borderId="43" xfId="0" applyFont="1" applyBorder="1" applyAlignment="1">
      <alignment wrapText="1"/>
    </xf>
    <xf numFmtId="49" fontId="79" fillId="0" borderId="54" xfId="0" applyNumberFormat="1" applyFont="1" applyBorder="1" applyAlignment="1">
      <alignment horizontal="center"/>
    </xf>
    <xf numFmtId="0" fontId="79" fillId="0" borderId="43" xfId="0" applyFont="1" applyBorder="1"/>
    <xf numFmtId="49" fontId="85" fillId="7" borderId="14" xfId="0" applyNumberFormat="1" applyFont="1" applyFill="1" applyBorder="1" applyAlignment="1">
      <alignment horizontal="center"/>
    </xf>
    <xf numFmtId="49" fontId="87" fillId="7" borderId="14" xfId="0" applyNumberFormat="1" applyFont="1" applyFill="1" applyBorder="1" applyAlignment="1">
      <alignment horizontal="center" vertical="center"/>
    </xf>
    <xf numFmtId="0" fontId="87" fillId="7" borderId="5" xfId="0" applyFont="1" applyFill="1" applyBorder="1" applyAlignment="1">
      <alignment wrapText="1"/>
    </xf>
    <xf numFmtId="49" fontId="87" fillId="7" borderId="14" xfId="0" applyNumberFormat="1" applyFont="1" applyFill="1" applyBorder="1" applyAlignment="1">
      <alignment horizontal="center"/>
    </xf>
    <xf numFmtId="0" fontId="88" fillId="7" borderId="5" xfId="0" applyFont="1" applyFill="1" applyBorder="1" applyAlignment="1">
      <alignment wrapText="1"/>
    </xf>
    <xf numFmtId="49" fontId="85" fillId="7" borderId="17" xfId="0" applyNumberFormat="1" applyFont="1" applyFill="1" applyBorder="1" applyAlignment="1">
      <alignment horizontal="center"/>
    </xf>
    <xf numFmtId="49" fontId="87" fillId="7" borderId="14" xfId="0" applyNumberFormat="1" applyFont="1" applyFill="1" applyBorder="1" applyAlignment="1">
      <alignment horizontal="center" wrapText="1"/>
    </xf>
    <xf numFmtId="49" fontId="79" fillId="0" borderId="54" xfId="0" applyNumberFormat="1" applyFont="1" applyBorder="1" applyAlignment="1">
      <alignment horizontal="left" wrapText="1"/>
    </xf>
    <xf numFmtId="49" fontId="49" fillId="0" borderId="54" xfId="0" applyNumberFormat="1" applyFont="1" applyBorder="1" applyAlignment="1">
      <alignment horizontal="left" wrapText="1"/>
    </xf>
    <xf numFmtId="49" fontId="87" fillId="7" borderId="14" xfId="0" applyNumberFormat="1" applyFont="1" applyFill="1" applyBorder="1" applyAlignment="1">
      <alignment horizontal="left" wrapText="1"/>
    </xf>
    <xf numFmtId="0" fontId="87" fillId="7" borderId="5" xfId="0" applyFont="1" applyFill="1" applyBorder="1"/>
    <xf numFmtId="49" fontId="87" fillId="7" borderId="17" xfId="0" applyNumberFormat="1" applyFont="1" applyFill="1" applyBorder="1" applyAlignment="1">
      <alignment horizontal="center"/>
    </xf>
    <xf numFmtId="0" fontId="87" fillId="7" borderId="52" xfId="0" applyFont="1" applyFill="1" applyBorder="1" applyAlignment="1">
      <alignment wrapText="1"/>
    </xf>
    <xf numFmtId="0" fontId="94" fillId="7" borderId="0" xfId="0" applyFont="1" applyFill="1"/>
    <xf numFmtId="49" fontId="39" fillId="0" borderId="54" xfId="0" applyNumberFormat="1" applyFont="1" applyBorder="1" applyAlignment="1">
      <alignment horizontal="center" vertical="center"/>
    </xf>
    <xf numFmtId="0" fontId="39" fillId="0" borderId="43" xfId="0" applyFont="1" applyBorder="1" applyAlignment="1">
      <alignment wrapText="1"/>
    </xf>
    <xf numFmtId="0" fontId="42" fillId="0" borderId="43" xfId="0" applyFont="1" applyBorder="1"/>
    <xf numFmtId="49" fontId="42" fillId="0" borderId="54" xfId="0" applyNumberFormat="1" applyFont="1" applyBorder="1" applyAlignment="1">
      <alignment horizontal="center"/>
    </xf>
    <xf numFmtId="49" fontId="39" fillId="0" borderId="54" xfId="0" applyNumberFormat="1" applyFont="1" applyBorder="1" applyAlignment="1">
      <alignment horizontal="center"/>
    </xf>
    <xf numFmtId="166" fontId="91" fillId="7" borderId="0" xfId="0" applyNumberFormat="1" applyFont="1" applyFill="1"/>
    <xf numFmtId="49" fontId="92" fillId="7" borderId="43" xfId="0" applyNumberFormat="1" applyFont="1" applyFill="1" applyBorder="1"/>
    <xf numFmtId="10" fontId="96" fillId="7" borderId="12" xfId="0" applyNumberFormat="1" applyFont="1" applyFill="1" applyBorder="1"/>
    <xf numFmtId="0" fontId="49" fillId="0" borderId="43" xfId="0" applyFont="1" applyBorder="1"/>
    <xf numFmtId="0" fontId="85" fillId="7" borderId="52" xfId="0" applyFont="1" applyFill="1" applyBorder="1"/>
    <xf numFmtId="166" fontId="55" fillId="0" borderId="31" xfId="0" applyNumberFormat="1" applyFont="1" applyBorder="1" applyAlignment="1">
      <alignment horizontal="left"/>
    </xf>
    <xf numFmtId="0" fontId="88" fillId="7" borderId="4" xfId="0" applyFont="1" applyFill="1" applyBorder="1" applyAlignment="1">
      <alignment wrapText="1"/>
    </xf>
    <xf numFmtId="49" fontId="88" fillId="7" borderId="11" xfId="0" applyNumberFormat="1" applyFont="1" applyFill="1" applyBorder="1" applyAlignment="1">
      <alignment horizontal="center"/>
    </xf>
    <xf numFmtId="0" fontId="88" fillId="7" borderId="12" xfId="0" applyFont="1" applyFill="1" applyBorder="1" applyAlignment="1">
      <alignment wrapText="1"/>
    </xf>
    <xf numFmtId="49" fontId="96" fillId="7" borderId="43" xfId="0" applyNumberFormat="1" applyFont="1" applyFill="1" applyBorder="1" applyAlignment="1">
      <alignment wrapText="1"/>
    </xf>
    <xf numFmtId="0" fontId="88" fillId="7" borderId="43" xfId="0" applyFont="1" applyFill="1" applyBorder="1" applyAlignment="1">
      <alignment wrapText="1"/>
    </xf>
    <xf numFmtId="164" fontId="91" fillId="7" borderId="0" xfId="0" applyNumberFormat="1" applyFont="1" applyFill="1"/>
    <xf numFmtId="0" fontId="88" fillId="7" borderId="12" xfId="0" applyFont="1" applyFill="1" applyBorder="1" applyAlignment="1">
      <alignment horizontal="center" vertical="center"/>
    </xf>
    <xf numFmtId="166" fontId="88" fillId="7" borderId="0" xfId="5" applyNumberFormat="1" applyFont="1" applyFill="1" applyAlignment="1">
      <alignment horizontal="right"/>
    </xf>
    <xf numFmtId="166" fontId="89" fillId="7" borderId="0" xfId="5" applyNumberFormat="1" applyFont="1" applyFill="1" applyAlignment="1">
      <alignment horizontal="right" vertical="center"/>
    </xf>
    <xf numFmtId="166" fontId="85" fillId="7" borderId="0" xfId="0" applyNumberFormat="1" applyFont="1" applyFill="1" applyAlignment="1">
      <alignment horizontal="right"/>
    </xf>
    <xf numFmtId="0" fontId="96" fillId="7" borderId="4" xfId="0" applyFont="1" applyFill="1" applyBorder="1" applyAlignment="1">
      <alignment wrapText="1"/>
    </xf>
    <xf numFmtId="166" fontId="96" fillId="7" borderId="0" xfId="0" applyNumberFormat="1" applyFont="1" applyFill="1" applyAlignment="1">
      <alignment horizontal="right"/>
    </xf>
    <xf numFmtId="10" fontId="96" fillId="7" borderId="4" xfId="0" applyNumberFormat="1" applyFont="1" applyFill="1" applyBorder="1" applyAlignment="1">
      <alignment horizontal="right"/>
    </xf>
    <xf numFmtId="49" fontId="96" fillId="7" borderId="48" xfId="0" applyNumberFormat="1" applyFont="1" applyFill="1" applyBorder="1"/>
    <xf numFmtId="165" fontId="96" fillId="7" borderId="0" xfId="0" applyNumberFormat="1" applyFont="1" applyFill="1"/>
    <xf numFmtId="0" fontId="96" fillId="7" borderId="0" xfId="0" applyFont="1" applyFill="1"/>
    <xf numFmtId="0" fontId="96" fillId="7" borderId="12" xfId="0" applyFont="1" applyFill="1" applyBorder="1"/>
    <xf numFmtId="49" fontId="88" fillId="7" borderId="14" xfId="0" applyNumberFormat="1" applyFont="1" applyFill="1" applyBorder="1" applyAlignment="1">
      <alignment horizontal="center" vertical="center"/>
    </xf>
    <xf numFmtId="49" fontId="91" fillId="7" borderId="14" xfId="0" applyNumberFormat="1" applyFont="1" applyFill="1" applyBorder="1" applyAlignment="1">
      <alignment horizontal="center" wrapText="1"/>
    </xf>
    <xf numFmtId="49" fontId="91" fillId="7" borderId="14" xfId="0" applyNumberFormat="1" applyFont="1" applyFill="1" applyBorder="1" applyAlignment="1">
      <alignment horizontal="center"/>
    </xf>
    <xf numFmtId="0" fontId="91" fillId="7" borderId="52" xfId="0" applyFont="1" applyFill="1" applyBorder="1"/>
    <xf numFmtId="0" fontId="96" fillId="7" borderId="5" xfId="0" applyFont="1" applyFill="1" applyBorder="1" applyAlignment="1">
      <alignment wrapText="1"/>
    </xf>
    <xf numFmtId="166" fontId="96" fillId="7" borderId="5" xfId="0" applyNumberFormat="1" applyFont="1" applyFill="1" applyBorder="1" applyAlignment="1">
      <alignment horizontal="right"/>
    </xf>
    <xf numFmtId="0" fontId="48" fillId="4" borderId="12" xfId="0" applyFont="1" applyFill="1" applyBorder="1" applyAlignment="1">
      <alignment wrapText="1"/>
    </xf>
    <xf numFmtId="49" fontId="42" fillId="0" borderId="54" xfId="0" applyNumberFormat="1" applyFont="1" applyBorder="1" applyAlignment="1">
      <alignment horizontal="center" vertical="center"/>
    </xf>
    <xf numFmtId="49" fontId="91" fillId="7" borderId="14" xfId="0" applyNumberFormat="1" applyFont="1" applyFill="1" applyBorder="1" applyAlignment="1">
      <alignment horizontal="left" wrapText="1"/>
    </xf>
    <xf numFmtId="0" fontId="91" fillId="7" borderId="5" xfId="0" applyFont="1" applyFill="1" applyBorder="1"/>
    <xf numFmtId="0" fontId="96" fillId="7" borderId="6" xfId="0" applyFont="1" applyFill="1" applyBorder="1"/>
    <xf numFmtId="165" fontId="96" fillId="7" borderId="5" xfId="0" applyNumberFormat="1" applyFont="1" applyFill="1" applyBorder="1"/>
    <xf numFmtId="166" fontId="96" fillId="7" borderId="60" xfId="0" applyNumberFormat="1" applyFont="1" applyFill="1" applyBorder="1" applyAlignment="1">
      <alignment horizontal="right"/>
    </xf>
    <xf numFmtId="10" fontId="96" fillId="7" borderId="62" xfId="0" applyNumberFormat="1" applyFont="1" applyFill="1" applyBorder="1" applyAlignment="1">
      <alignment horizontal="right"/>
    </xf>
    <xf numFmtId="166" fontId="96" fillId="7" borderId="42" xfId="0" applyNumberFormat="1" applyFont="1" applyFill="1" applyBorder="1" applyAlignment="1">
      <alignment horizontal="right"/>
    </xf>
    <xf numFmtId="10" fontId="96" fillId="7" borderId="77" xfId="0" applyNumberFormat="1" applyFont="1" applyFill="1" applyBorder="1" applyAlignment="1">
      <alignment horizontal="right"/>
    </xf>
    <xf numFmtId="0" fontId="88" fillId="7" borderId="12" xfId="0" applyFont="1" applyFill="1" applyBorder="1" applyAlignment="1">
      <alignment horizontal="left"/>
    </xf>
    <xf numFmtId="164" fontId="88" fillId="7" borderId="0" xfId="5" applyNumberFormat="1" applyFont="1" applyFill="1" applyAlignment="1">
      <alignment horizontal="center"/>
    </xf>
    <xf numFmtId="0" fontId="97" fillId="7" borderId="0" xfId="0" applyFont="1" applyFill="1"/>
    <xf numFmtId="0" fontId="95" fillId="7" borderId="43" xfId="0" applyFont="1" applyFill="1" applyBorder="1" applyAlignment="1">
      <alignment wrapText="1"/>
    </xf>
    <xf numFmtId="0" fontId="88" fillId="7" borderId="43" xfId="0" applyFont="1" applyFill="1" applyBorder="1" applyAlignment="1">
      <alignment horizontal="left"/>
    </xf>
    <xf numFmtId="1" fontId="95" fillId="7" borderId="4" xfId="0" applyNumberFormat="1" applyFont="1" applyFill="1" applyBorder="1" applyAlignment="1">
      <alignment horizontal="right"/>
    </xf>
    <xf numFmtId="1" fontId="95" fillId="7" borderId="62" xfId="0" applyNumberFormat="1" applyFont="1" applyFill="1" applyBorder="1" applyAlignment="1">
      <alignment horizontal="right"/>
    </xf>
    <xf numFmtId="1" fontId="95" fillId="7" borderId="23" xfId="0" applyNumberFormat="1" applyFont="1" applyFill="1" applyBorder="1" applyAlignment="1">
      <alignment horizontal="right"/>
    </xf>
    <xf numFmtId="1" fontId="94" fillId="7" borderId="0" xfId="0" applyNumberFormat="1" applyFont="1" applyFill="1"/>
    <xf numFmtId="164" fontId="94" fillId="7" borderId="0" xfId="0" applyNumberFormat="1" applyFont="1" applyFill="1"/>
    <xf numFmtId="0" fontId="95" fillId="7" borderId="12" xfId="0" applyFont="1" applyFill="1" applyBorder="1" applyAlignment="1">
      <alignment wrapText="1"/>
    </xf>
    <xf numFmtId="10" fontId="95" fillId="7" borderId="12" xfId="0" applyNumberFormat="1" applyFont="1" applyFill="1" applyBorder="1" applyAlignment="1">
      <alignment horizontal="right"/>
    </xf>
    <xf numFmtId="49" fontId="88" fillId="7" borderId="78" xfId="0" applyNumberFormat="1" applyFont="1" applyFill="1" applyBorder="1" applyAlignment="1">
      <alignment horizontal="center"/>
    </xf>
    <xf numFmtId="165" fontId="95" fillId="7" borderId="4" xfId="0" applyNumberFormat="1" applyFont="1" applyFill="1" applyBorder="1"/>
    <xf numFmtId="165" fontId="95" fillId="7" borderId="62" xfId="0" applyNumberFormat="1" applyFont="1" applyFill="1" applyBorder="1"/>
    <xf numFmtId="165" fontId="95" fillId="7" borderId="23" xfId="0" applyNumberFormat="1" applyFont="1" applyFill="1" applyBorder="1"/>
    <xf numFmtId="0" fontId="95" fillId="7" borderId="12" xfId="0" applyFont="1" applyFill="1" applyBorder="1"/>
    <xf numFmtId="0" fontId="89" fillId="7" borderId="12" xfId="0" applyFont="1" applyFill="1" applyBorder="1" applyAlignment="1">
      <alignment horizontal="left"/>
    </xf>
    <xf numFmtId="10" fontId="95" fillId="7" borderId="12" xfId="0" applyNumberFormat="1" applyFont="1" applyFill="1" applyBorder="1"/>
    <xf numFmtId="10" fontId="95" fillId="7" borderId="13" xfId="0" applyNumberFormat="1" applyFont="1" applyFill="1" applyBorder="1"/>
    <xf numFmtId="10" fontId="95" fillId="7" borderId="52" xfId="0" applyNumberFormat="1" applyFont="1" applyFill="1" applyBorder="1" applyAlignment="1">
      <alignment horizontal="right"/>
    </xf>
    <xf numFmtId="10" fontId="95" fillId="7" borderId="40" xfId="0" applyNumberFormat="1" applyFont="1" applyFill="1" applyBorder="1" applyAlignment="1">
      <alignment horizontal="right"/>
    </xf>
    <xf numFmtId="0" fontId="95" fillId="7" borderId="11" xfId="0" applyFont="1" applyFill="1" applyBorder="1" applyAlignment="1">
      <alignment wrapText="1"/>
    </xf>
    <xf numFmtId="0" fontId="95" fillId="7" borderId="16" xfId="0" applyFont="1" applyFill="1" applyBorder="1" applyAlignment="1">
      <alignment wrapText="1"/>
    </xf>
    <xf numFmtId="0" fontId="39" fillId="0" borderId="43" xfId="0" applyFont="1" applyBorder="1" applyAlignment="1">
      <alignment horizontal="left"/>
    </xf>
    <xf numFmtId="49" fontId="65" fillId="0" borderId="16" xfId="0" applyNumberFormat="1" applyFont="1" applyBorder="1" applyAlignment="1">
      <alignment horizontal="center"/>
    </xf>
    <xf numFmtId="0" fontId="39" fillId="3" borderId="4" xfId="0" applyFont="1" applyFill="1" applyBorder="1" applyAlignment="1">
      <alignment horizontal="left"/>
    </xf>
    <xf numFmtId="0" fontId="7" fillId="3" borderId="16" xfId="0" applyFont="1" applyFill="1" applyBorder="1" applyAlignment="1">
      <alignment wrapText="1"/>
    </xf>
    <xf numFmtId="0" fontId="7" fillId="3" borderId="4" xfId="0" applyFont="1" applyFill="1" applyBorder="1"/>
    <xf numFmtId="0" fontId="48" fillId="3" borderId="4" xfId="0" applyFont="1" applyFill="1" applyBorder="1" applyAlignment="1">
      <alignment horizontal="left"/>
    </xf>
    <xf numFmtId="0" fontId="95" fillId="7" borderId="4" xfId="0" applyFont="1" applyFill="1" applyBorder="1"/>
    <xf numFmtId="0" fontId="89" fillId="7" borderId="4" xfId="0" applyFont="1" applyFill="1" applyBorder="1" applyAlignment="1">
      <alignment horizontal="left"/>
    </xf>
    <xf numFmtId="1" fontId="40" fillId="0" borderId="9" xfId="5" applyNumberFormat="1" applyFont="1" applyBorder="1" applyAlignment="1">
      <alignment horizontal="center" vertical="center" wrapText="1"/>
    </xf>
    <xf numFmtId="49" fontId="88" fillId="7" borderId="54" xfId="0" applyNumberFormat="1" applyFont="1" applyFill="1" applyBorder="1" applyAlignment="1">
      <alignment horizontal="center"/>
    </xf>
    <xf numFmtId="0" fontId="7" fillId="3" borderId="6" xfId="0" applyFont="1" applyFill="1" applyBorder="1"/>
    <xf numFmtId="0" fontId="48" fillId="3" borderId="6" xfId="0" applyFont="1" applyFill="1" applyBorder="1" applyAlignment="1">
      <alignment horizontal="left"/>
    </xf>
    <xf numFmtId="10" fontId="95" fillId="7" borderId="13" xfId="0" applyNumberFormat="1" applyFont="1" applyFill="1" applyBorder="1" applyAlignment="1">
      <alignment horizontal="right"/>
    </xf>
    <xf numFmtId="0" fontId="55" fillId="0" borderId="16" xfId="0" applyFont="1" applyBorder="1"/>
    <xf numFmtId="0" fontId="88" fillId="7" borderId="28" xfId="0" applyFont="1" applyFill="1" applyBorder="1" applyAlignment="1">
      <alignment wrapText="1"/>
    </xf>
    <xf numFmtId="49" fontId="88" fillId="7" borderId="19" xfId="0" applyNumberFormat="1" applyFont="1" applyFill="1" applyBorder="1" applyAlignment="1">
      <alignment horizontal="center"/>
    </xf>
    <xf numFmtId="49" fontId="95" fillId="7" borderId="43" xfId="0" applyNumberFormat="1" applyFont="1" applyFill="1" applyBorder="1" applyAlignment="1">
      <alignment wrapText="1"/>
    </xf>
    <xf numFmtId="49" fontId="95" fillId="7" borderId="12" xfId="0" applyNumberFormat="1" applyFont="1" applyFill="1" applyBorder="1" applyAlignment="1">
      <alignment wrapText="1"/>
    </xf>
    <xf numFmtId="49" fontId="7" fillId="3" borderId="43" xfId="0" applyNumberFormat="1" applyFont="1" applyFill="1" applyBorder="1"/>
    <xf numFmtId="1" fontId="39" fillId="0" borderId="23" xfId="5" applyNumberFormat="1" applyFont="1" applyBorder="1" applyAlignment="1">
      <alignment horizontal="right"/>
    </xf>
    <xf numFmtId="49" fontId="94" fillId="7" borderId="12" xfId="0" applyNumberFormat="1" applyFont="1" applyFill="1" applyBorder="1"/>
    <xf numFmtId="0" fontId="88" fillId="7" borderId="1" xfId="0" applyFont="1" applyFill="1" applyBorder="1" applyAlignment="1">
      <alignment wrapText="1"/>
    </xf>
    <xf numFmtId="49" fontId="95" fillId="7" borderId="11" xfId="0" applyNumberFormat="1" applyFont="1" applyFill="1" applyBorder="1" applyAlignment="1">
      <alignment wrapText="1"/>
    </xf>
    <xf numFmtId="49" fontId="94" fillId="7" borderId="43" xfId="0" applyNumberFormat="1" applyFont="1" applyFill="1" applyBorder="1"/>
    <xf numFmtId="49" fontId="40" fillId="0" borderId="8" xfId="0" applyNumberFormat="1" applyFont="1" applyBorder="1" applyAlignment="1">
      <alignment horizontal="center" vertical="center" wrapText="1"/>
    </xf>
    <xf numFmtId="1" fontId="40" fillId="0" borderId="9" xfId="5" applyNumberFormat="1" applyFont="1" applyBorder="1" applyAlignment="1">
      <alignment horizontal="right" vertical="center" wrapText="1"/>
    </xf>
    <xf numFmtId="1" fontId="40" fillId="0" borderId="10" xfId="5" applyNumberFormat="1" applyFont="1" applyBorder="1" applyAlignment="1">
      <alignment horizontal="right" vertical="center"/>
    </xf>
    <xf numFmtId="49" fontId="91" fillId="7" borderId="11" xfId="0" applyNumberFormat="1" applyFont="1" applyFill="1" applyBorder="1" applyAlignment="1">
      <alignment horizontal="center" vertical="center"/>
    </xf>
    <xf numFmtId="0" fontId="91" fillId="7" borderId="65" xfId="0" applyFont="1" applyFill="1" applyBorder="1" applyAlignment="1">
      <alignment horizontal="left" vertical="center"/>
    </xf>
    <xf numFmtId="49" fontId="91" fillId="7" borderId="19" xfId="0" applyNumberFormat="1" applyFont="1" applyFill="1" applyBorder="1" applyAlignment="1">
      <alignment horizontal="center"/>
    </xf>
    <xf numFmtId="0" fontId="91" fillId="7" borderId="28" xfId="0" applyFont="1" applyFill="1" applyBorder="1" applyAlignment="1">
      <alignment horizontal="left" vertical="center"/>
    </xf>
    <xf numFmtId="49" fontId="98" fillId="7" borderId="4" xfId="0" applyNumberFormat="1" applyFont="1" applyFill="1" applyBorder="1" applyAlignment="1">
      <alignment wrapText="1"/>
    </xf>
    <xf numFmtId="0" fontId="91" fillId="7" borderId="4" xfId="0" applyFont="1" applyFill="1" applyBorder="1" applyAlignment="1">
      <alignment horizontal="left" vertical="center"/>
    </xf>
    <xf numFmtId="1" fontId="98" fillId="7" borderId="4" xfId="0" applyNumberFormat="1" applyFont="1" applyFill="1" applyBorder="1" applyAlignment="1">
      <alignment horizontal="right"/>
    </xf>
    <xf numFmtId="1" fontId="98" fillId="7" borderId="23" xfId="0" applyNumberFormat="1" applyFont="1" applyFill="1" applyBorder="1" applyAlignment="1">
      <alignment horizontal="right"/>
    </xf>
    <xf numFmtId="164" fontId="92" fillId="7" borderId="0" xfId="0" applyNumberFormat="1" applyFont="1" applyFill="1"/>
    <xf numFmtId="49" fontId="98" fillId="7" borderId="43" xfId="0" applyNumberFormat="1" applyFont="1" applyFill="1" applyBorder="1" applyAlignment="1">
      <alignment wrapText="1"/>
    </xf>
    <xf numFmtId="0" fontId="91" fillId="7" borderId="43" xfId="0" applyFont="1" applyFill="1" applyBorder="1" applyAlignment="1">
      <alignment horizontal="left" vertical="center"/>
    </xf>
    <xf numFmtId="49" fontId="98" fillId="7" borderId="12" xfId="0" applyNumberFormat="1" applyFont="1" applyFill="1" applyBorder="1" applyAlignment="1">
      <alignment wrapText="1"/>
    </xf>
    <xf numFmtId="0" fontId="91" fillId="7" borderId="12" xfId="0" applyFont="1" applyFill="1" applyBorder="1" applyAlignment="1">
      <alignment horizontal="left" vertical="center"/>
    </xf>
    <xf numFmtId="10" fontId="98" fillId="7" borderId="12" xfId="0" applyNumberFormat="1" applyFont="1" applyFill="1" applyBorder="1" applyAlignment="1">
      <alignment horizontal="right"/>
    </xf>
    <xf numFmtId="49" fontId="91" fillId="7" borderId="19" xfId="0" applyNumberFormat="1" applyFont="1" applyFill="1" applyBorder="1" applyAlignment="1">
      <alignment horizontal="center" vertical="center"/>
    </xf>
    <xf numFmtId="49" fontId="98" fillId="7" borderId="12" xfId="0" applyNumberFormat="1" applyFont="1" applyFill="1" applyBorder="1"/>
    <xf numFmtId="49" fontId="7" fillId="3" borderId="6" xfId="0" applyNumberFormat="1" applyFont="1" applyFill="1" applyBorder="1" applyAlignment="1">
      <alignment wrapText="1"/>
    </xf>
    <xf numFmtId="0" fontId="42" fillId="3" borderId="6" xfId="0" applyFont="1" applyFill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10" fontId="98" fillId="7" borderId="13" xfId="0" applyNumberFormat="1" applyFont="1" applyFill="1" applyBorder="1" applyAlignment="1">
      <alignment horizontal="right"/>
    </xf>
    <xf numFmtId="0" fontId="2" fillId="0" borderId="21" xfId="0" applyFont="1" applyBorder="1"/>
    <xf numFmtId="0" fontId="49" fillId="0" borderId="9" xfId="0" applyFont="1" applyBorder="1"/>
    <xf numFmtId="0" fontId="49" fillId="0" borderId="12" xfId="0" applyFont="1" applyBorder="1" applyAlignment="1">
      <alignment horizontal="right"/>
    </xf>
    <xf numFmtId="0" fontId="99" fillId="7" borderId="0" xfId="0" applyFont="1" applyFill="1" applyAlignment="1">
      <alignment horizontal="left"/>
    </xf>
    <xf numFmtId="166" fontId="100" fillId="7" borderId="30" xfId="0" applyNumberFormat="1" applyFont="1" applyFill="1" applyBorder="1" applyAlignment="1">
      <alignment horizontal="left"/>
    </xf>
    <xf numFmtId="0" fontId="92" fillId="7" borderId="36" xfId="0" applyFont="1" applyFill="1" applyBorder="1"/>
    <xf numFmtId="166" fontId="101" fillId="7" borderId="30" xfId="0" applyNumberFormat="1" applyFont="1" applyFill="1" applyBorder="1" applyAlignment="1">
      <alignment horizontal="left"/>
    </xf>
    <xf numFmtId="166" fontId="101" fillId="7" borderId="48" xfId="0" applyNumberFormat="1" applyFont="1" applyFill="1" applyBorder="1" applyAlignment="1">
      <alignment horizontal="left"/>
    </xf>
    <xf numFmtId="166" fontId="100" fillId="7" borderId="30" xfId="0" applyNumberFormat="1" applyFont="1" applyFill="1" applyBorder="1" applyAlignment="1">
      <alignment horizontal="right"/>
    </xf>
    <xf numFmtId="166" fontId="100" fillId="7" borderId="32" xfId="0" applyNumberFormat="1" applyFont="1" applyFill="1" applyBorder="1" applyAlignment="1">
      <alignment horizontal="right"/>
    </xf>
    <xf numFmtId="0" fontId="99" fillId="7" borderId="0" xfId="0" applyFont="1" applyFill="1"/>
    <xf numFmtId="0" fontId="102" fillId="7" borderId="0" xfId="0" applyFont="1" applyFill="1"/>
    <xf numFmtId="166" fontId="100" fillId="7" borderId="31" xfId="0" applyNumberFormat="1" applyFont="1" applyFill="1" applyBorder="1" applyAlignment="1">
      <alignment horizontal="left"/>
    </xf>
    <xf numFmtId="0" fontId="98" fillId="7" borderId="0" xfId="0" applyFont="1" applyFill="1"/>
    <xf numFmtId="0" fontId="85" fillId="7" borderId="30" xfId="0" applyFont="1" applyFill="1" applyBorder="1"/>
    <xf numFmtId="166" fontId="100" fillId="7" borderId="32" xfId="0" applyNumberFormat="1" applyFont="1" applyFill="1" applyBorder="1"/>
    <xf numFmtId="49" fontId="79" fillId="0" borderId="19" xfId="0" applyNumberFormat="1" applyFont="1" applyBorder="1" applyAlignment="1">
      <alignment horizontal="center"/>
    </xf>
    <xf numFmtId="0" fontId="79" fillId="0" borderId="6" xfId="0" applyFont="1" applyBorder="1" applyAlignment="1">
      <alignment wrapText="1"/>
    </xf>
    <xf numFmtId="49" fontId="79" fillId="0" borderId="17" xfId="0" applyNumberFormat="1" applyFont="1" applyBorder="1" applyAlignment="1">
      <alignment horizontal="center"/>
    </xf>
    <xf numFmtId="0" fontId="79" fillId="0" borderId="52" xfId="0" applyFont="1" applyBorder="1" applyAlignment="1">
      <alignment wrapText="1"/>
    </xf>
    <xf numFmtId="0" fontId="8" fillId="0" borderId="11" xfId="0" applyFont="1" applyBorder="1"/>
    <xf numFmtId="166" fontId="78" fillId="0" borderId="41" xfId="0" applyNumberFormat="1" applyFont="1" applyBorder="1"/>
    <xf numFmtId="166" fontId="84" fillId="0" borderId="34" xfId="0" applyNumberFormat="1" applyFont="1" applyBorder="1" applyAlignment="1">
      <alignment horizontal="left"/>
    </xf>
    <xf numFmtId="49" fontId="88" fillId="7" borderId="8" xfId="0" applyNumberFormat="1" applyFont="1" applyFill="1" applyBorder="1" applyAlignment="1">
      <alignment horizontal="center"/>
    </xf>
    <xf numFmtId="0" fontId="88" fillId="7" borderId="9" xfId="0" applyFont="1" applyFill="1" applyBorder="1" applyAlignment="1">
      <alignment wrapText="1"/>
    </xf>
    <xf numFmtId="0" fontId="103" fillId="7" borderId="4" xfId="0" applyFont="1" applyFill="1" applyBorder="1" applyAlignment="1">
      <alignment wrapText="1"/>
    </xf>
    <xf numFmtId="0" fontId="103" fillId="7" borderId="9" xfId="0" applyFont="1" applyFill="1" applyBorder="1" applyAlignment="1">
      <alignment wrapText="1"/>
    </xf>
    <xf numFmtId="0" fontId="103" fillId="7" borderId="43" xfId="0" applyFont="1" applyFill="1" applyBorder="1" applyAlignment="1">
      <alignment wrapText="1"/>
    </xf>
    <xf numFmtId="49" fontId="105" fillId="7" borderId="8" xfId="0" applyNumberFormat="1" applyFont="1" applyFill="1" applyBorder="1" applyAlignment="1">
      <alignment horizontal="center"/>
    </xf>
    <xf numFmtId="49" fontId="105" fillId="7" borderId="16" xfId="0" applyNumberFormat="1" applyFont="1" applyFill="1" applyBorder="1" applyAlignment="1">
      <alignment horizontal="center"/>
    </xf>
    <xf numFmtId="49" fontId="105" fillId="7" borderId="54" xfId="0" applyNumberFormat="1" applyFont="1" applyFill="1" applyBorder="1" applyAlignment="1">
      <alignment horizontal="center"/>
    </xf>
    <xf numFmtId="49" fontId="79" fillId="0" borderId="8" xfId="0" applyNumberFormat="1" applyFont="1" applyBorder="1" applyAlignment="1">
      <alignment horizontal="center"/>
    </xf>
    <xf numFmtId="0" fontId="80" fillId="0" borderId="7" xfId="0" applyFont="1" applyBorder="1" applyAlignment="1">
      <alignment horizontal="center"/>
    </xf>
    <xf numFmtId="0" fontId="80" fillId="0" borderId="0" xfId="0" applyFont="1" applyAlignment="1">
      <alignment horizontal="center"/>
    </xf>
    <xf numFmtId="0" fontId="81" fillId="0" borderId="0" xfId="0" applyFont="1" applyAlignment="1">
      <alignment horizontal="center"/>
    </xf>
    <xf numFmtId="0" fontId="109" fillId="0" borderId="0" xfId="0" applyFont="1"/>
    <xf numFmtId="0" fontId="80" fillId="0" borderId="6" xfId="5" applyNumberFormat="1" applyFont="1" applyBorder="1" applyAlignment="1">
      <alignment horizontal="center" wrapText="1"/>
    </xf>
    <xf numFmtId="164" fontId="80" fillId="0" borderId="6" xfId="5" applyNumberFormat="1" applyFont="1" applyBorder="1" applyAlignment="1">
      <alignment horizontal="center" wrapText="1"/>
    </xf>
    <xf numFmtId="164" fontId="80" fillId="0" borderId="7" xfId="5" applyNumberFormat="1" applyFont="1" applyBorder="1" applyAlignment="1">
      <alignment horizontal="center" wrapText="1"/>
    </xf>
    <xf numFmtId="164" fontId="80" fillId="0" borderId="8" xfId="5" applyNumberFormat="1" applyFont="1" applyBorder="1" applyAlignment="1">
      <alignment horizontal="center" wrapText="1"/>
    </xf>
    <xf numFmtId="164" fontId="80" fillId="0" borderId="0" xfId="5" applyNumberFormat="1" applyFont="1" applyAlignment="1">
      <alignment horizontal="center"/>
    </xf>
    <xf numFmtId="49" fontId="80" fillId="0" borderId="8" xfId="0" applyNumberFormat="1" applyFont="1" applyBorder="1" applyAlignment="1">
      <alignment horizontal="center" wrapText="1"/>
    </xf>
    <xf numFmtId="0" fontId="80" fillId="0" borderId="9" xfId="0" applyFont="1" applyBorder="1" applyAlignment="1">
      <alignment horizontal="center" wrapText="1"/>
    </xf>
    <xf numFmtId="164" fontId="80" fillId="0" borderId="9" xfId="5" applyNumberFormat="1" applyFont="1" applyBorder="1" applyAlignment="1">
      <alignment horizontal="center" wrapText="1"/>
    </xf>
    <xf numFmtId="164" fontId="80" fillId="0" borderId="79" xfId="5" applyNumberFormat="1" applyFont="1" applyBorder="1" applyAlignment="1">
      <alignment horizontal="center" wrapText="1"/>
    </xf>
    <xf numFmtId="164" fontId="80" fillId="4" borderId="24" xfId="5" applyNumberFormat="1" applyFont="1" applyFill="1" applyBorder="1" applyAlignment="1">
      <alignment horizontal="center"/>
    </xf>
    <xf numFmtId="49" fontId="79" fillId="0" borderId="14" xfId="0" applyNumberFormat="1" applyFont="1" applyBorder="1" applyAlignment="1">
      <alignment horizontal="center" vertical="center"/>
    </xf>
    <xf numFmtId="49" fontId="80" fillId="3" borderId="31" xfId="0" applyNumberFormat="1" applyFont="1" applyFill="1" applyBorder="1" applyAlignment="1">
      <alignment wrapText="1"/>
    </xf>
    <xf numFmtId="0" fontId="80" fillId="3" borderId="26" xfId="0" applyFont="1" applyFill="1" applyBorder="1" applyAlignment="1">
      <alignment wrapText="1"/>
    </xf>
    <xf numFmtId="164" fontId="79" fillId="0" borderId="0" xfId="0" applyNumberFormat="1" applyFont="1"/>
    <xf numFmtId="49" fontId="80" fillId="3" borderId="33" xfId="0" applyNumberFormat="1" applyFont="1" applyFill="1" applyBorder="1" applyAlignment="1">
      <alignment wrapText="1"/>
    </xf>
    <xf numFmtId="0" fontId="80" fillId="3" borderId="68" xfId="0" applyFont="1" applyFill="1" applyBorder="1" applyAlignment="1">
      <alignment wrapText="1"/>
    </xf>
    <xf numFmtId="166" fontId="79" fillId="0" borderId="44" xfId="0" applyNumberFormat="1" applyFont="1" applyBorder="1"/>
    <xf numFmtId="49" fontId="90" fillId="7" borderId="33" xfId="0" applyNumberFormat="1" applyFont="1" applyFill="1" applyBorder="1" applyAlignment="1">
      <alignment wrapText="1"/>
    </xf>
    <xf numFmtId="0" fontId="90" fillId="7" borderId="67" xfId="0" applyFont="1" applyFill="1" applyBorder="1" applyAlignment="1">
      <alignment wrapText="1"/>
    </xf>
    <xf numFmtId="166" fontId="87" fillId="7" borderId="44" xfId="0" applyNumberFormat="1" applyFont="1" applyFill="1" applyBorder="1"/>
    <xf numFmtId="164" fontId="87" fillId="7" borderId="0" xfId="0" applyNumberFormat="1" applyFont="1" applyFill="1"/>
    <xf numFmtId="0" fontId="111" fillId="7" borderId="0" xfId="0" applyFont="1" applyFill="1"/>
    <xf numFmtId="49" fontId="80" fillId="0" borderId="33" xfId="0" applyNumberFormat="1" applyFont="1" applyBorder="1" applyAlignment="1">
      <alignment wrapText="1"/>
    </xf>
    <xf numFmtId="0" fontId="80" fillId="0" borderId="67" xfId="0" applyFont="1" applyBorder="1" applyAlignment="1">
      <alignment wrapText="1"/>
    </xf>
    <xf numFmtId="0" fontId="79" fillId="0" borderId="9" xfId="0" quotePrefix="1" applyFont="1" applyBorder="1" applyAlignment="1">
      <alignment horizontal="left"/>
    </xf>
    <xf numFmtId="1" fontId="79" fillId="0" borderId="44" xfId="0" applyNumberFormat="1" applyFont="1" applyBorder="1"/>
    <xf numFmtId="0" fontId="80" fillId="3" borderId="12" xfId="0" applyFont="1" applyFill="1" applyBorder="1" applyAlignment="1">
      <alignment wrapText="1"/>
    </xf>
    <xf numFmtId="166" fontId="80" fillId="3" borderId="12" xfId="0" applyNumberFormat="1" applyFont="1" applyFill="1" applyBorder="1" applyAlignment="1">
      <alignment horizontal="right"/>
    </xf>
    <xf numFmtId="166" fontId="80" fillId="3" borderId="56" xfId="0" applyNumberFormat="1" applyFont="1" applyFill="1" applyBorder="1" applyAlignment="1">
      <alignment horizontal="right"/>
    </xf>
    <xf numFmtId="49" fontId="90" fillId="7" borderId="8" xfId="0" applyNumberFormat="1" applyFont="1" applyFill="1" applyBorder="1" applyAlignment="1">
      <alignment wrapText="1"/>
    </xf>
    <xf numFmtId="0" fontId="90" fillId="7" borderId="6" xfId="0" applyFont="1" applyFill="1" applyBorder="1" applyAlignment="1">
      <alignment wrapText="1"/>
    </xf>
    <xf numFmtId="49" fontId="90" fillId="7" borderId="11" xfId="0" applyNumberFormat="1" applyFont="1" applyFill="1" applyBorder="1" applyAlignment="1">
      <alignment wrapText="1"/>
    </xf>
    <xf numFmtId="0" fontId="90" fillId="7" borderId="12" xfId="0" applyFont="1" applyFill="1" applyBorder="1" applyAlignment="1">
      <alignment wrapText="1"/>
    </xf>
    <xf numFmtId="10" fontId="90" fillId="7" borderId="12" xfId="0" applyNumberFormat="1" applyFont="1" applyFill="1" applyBorder="1" applyAlignment="1">
      <alignment horizontal="right"/>
    </xf>
    <xf numFmtId="10" fontId="90" fillId="7" borderId="56" xfId="0" applyNumberFormat="1" applyFont="1" applyFill="1" applyBorder="1" applyAlignment="1">
      <alignment horizontal="right"/>
    </xf>
    <xf numFmtId="0" fontId="79" fillId="0" borderId="27" xfId="0" applyFont="1" applyBorder="1" applyAlignment="1">
      <alignment horizontal="center" vertical="center"/>
    </xf>
    <xf numFmtId="0" fontId="79" fillId="0" borderId="28" xfId="0" applyFont="1" applyBorder="1" applyAlignment="1">
      <alignment wrapText="1"/>
    </xf>
    <xf numFmtId="166" fontId="79" fillId="0" borderId="44" xfId="5" applyNumberFormat="1" applyFont="1" applyBorder="1" applyAlignment="1">
      <alignment horizontal="right"/>
    </xf>
    <xf numFmtId="166" fontId="80" fillId="0" borderId="0" xfId="5" applyNumberFormat="1" applyFont="1" applyAlignment="1">
      <alignment horizontal="right" vertical="center"/>
    </xf>
    <xf numFmtId="166" fontId="87" fillId="7" borderId="44" xfId="5" applyNumberFormat="1" applyFont="1" applyFill="1" applyBorder="1" applyAlignment="1">
      <alignment horizontal="right"/>
    </xf>
    <xf numFmtId="166" fontId="90" fillId="7" borderId="0" xfId="5" applyNumberFormat="1" applyFont="1" applyFill="1" applyAlignment="1">
      <alignment horizontal="right" vertical="center"/>
    </xf>
    <xf numFmtId="0" fontId="90" fillId="7" borderId="0" xfId="0" applyFont="1" applyFill="1" applyAlignment="1">
      <alignment horizontal="center"/>
    </xf>
    <xf numFmtId="0" fontId="112" fillId="7" borderId="0" xfId="0" applyFont="1" applyFill="1" applyAlignment="1">
      <alignment horizontal="center"/>
    </xf>
    <xf numFmtId="166" fontId="87" fillId="7" borderId="44" xfId="0" applyNumberFormat="1" applyFont="1" applyFill="1" applyBorder="1" applyAlignment="1">
      <alignment horizontal="right"/>
    </xf>
    <xf numFmtId="1" fontId="87" fillId="7" borderId="0" xfId="5" applyNumberFormat="1" applyFont="1" applyFill="1" applyAlignment="1">
      <alignment horizontal="right"/>
    </xf>
    <xf numFmtId="166" fontId="79" fillId="0" borderId="44" xfId="0" applyNumberFormat="1" applyFont="1" applyBorder="1" applyAlignment="1">
      <alignment horizontal="right"/>
    </xf>
    <xf numFmtId="1" fontId="79" fillId="0" borderId="0" xfId="5" applyNumberFormat="1" applyFont="1" applyAlignment="1">
      <alignment horizontal="right"/>
    </xf>
    <xf numFmtId="0" fontId="80" fillId="3" borderId="33" xfId="0" applyFont="1" applyFill="1" applyBorder="1" applyAlignment="1">
      <alignment wrapText="1"/>
    </xf>
    <xf numFmtId="166" fontId="80" fillId="0" borderId="44" xfId="0" applyNumberFormat="1" applyFont="1" applyBorder="1" applyAlignment="1">
      <alignment horizontal="right"/>
    </xf>
    <xf numFmtId="0" fontId="79" fillId="3" borderId="26" xfId="0" applyFont="1" applyFill="1" applyBorder="1" applyAlignment="1">
      <alignment wrapText="1"/>
    </xf>
    <xf numFmtId="0" fontId="90" fillId="7" borderId="33" xfId="0" applyFont="1" applyFill="1" applyBorder="1" applyAlignment="1">
      <alignment wrapText="1"/>
    </xf>
    <xf numFmtId="0" fontId="87" fillId="7" borderId="26" xfId="0" applyFont="1" applyFill="1" applyBorder="1" applyAlignment="1">
      <alignment wrapText="1"/>
    </xf>
    <xf numFmtId="166" fontId="90" fillId="7" borderId="44" xfId="0" applyNumberFormat="1" applyFont="1" applyFill="1" applyBorder="1" applyAlignment="1">
      <alignment horizontal="right"/>
    </xf>
    <xf numFmtId="0" fontId="87" fillId="7" borderId="68" xfId="0" applyFont="1" applyFill="1" applyBorder="1" applyAlignment="1">
      <alignment wrapText="1"/>
    </xf>
    <xf numFmtId="0" fontId="80" fillId="0" borderId="78" xfId="0" applyFont="1" applyBorder="1" applyAlignment="1">
      <alignment wrapText="1"/>
    </xf>
    <xf numFmtId="0" fontId="79" fillId="3" borderId="12" xfId="0" applyFont="1" applyFill="1" applyBorder="1" applyAlignment="1">
      <alignment wrapText="1"/>
    </xf>
    <xf numFmtId="166" fontId="80" fillId="3" borderId="72" xfId="0" applyNumberFormat="1" applyFont="1" applyFill="1" applyBorder="1" applyAlignment="1">
      <alignment horizontal="right"/>
    </xf>
    <xf numFmtId="166" fontId="80" fillId="0" borderId="0" xfId="0" applyNumberFormat="1" applyFont="1" applyAlignment="1">
      <alignment horizontal="right"/>
    </xf>
    <xf numFmtId="0" fontId="87" fillId="7" borderId="6" xfId="0" applyFont="1" applyFill="1" applyBorder="1" applyAlignment="1">
      <alignment wrapText="1"/>
    </xf>
    <xf numFmtId="166" fontId="90" fillId="7" borderId="43" xfId="0" applyNumberFormat="1" applyFont="1" applyFill="1" applyBorder="1" applyAlignment="1">
      <alignment horizontal="right"/>
    </xf>
    <xf numFmtId="166" fontId="90" fillId="7" borderId="12" xfId="0" applyNumberFormat="1" applyFont="1" applyFill="1" applyBorder="1" applyAlignment="1">
      <alignment horizontal="right"/>
    </xf>
    <xf numFmtId="166" fontId="90" fillId="7" borderId="56" xfId="0" applyNumberFormat="1" applyFont="1" applyFill="1" applyBorder="1" applyAlignment="1">
      <alignment horizontal="right"/>
    </xf>
    <xf numFmtId="166" fontId="90" fillId="7" borderId="77" xfId="0" applyNumberFormat="1" applyFont="1" applyFill="1" applyBorder="1" applyAlignment="1">
      <alignment horizontal="right"/>
    </xf>
    <xf numFmtId="166" fontId="90" fillId="7" borderId="0" xfId="0" applyNumberFormat="1" applyFont="1" applyFill="1" applyAlignment="1">
      <alignment horizontal="right"/>
    </xf>
    <xf numFmtId="0" fontId="90" fillId="7" borderId="26" xfId="0" applyFont="1" applyFill="1" applyBorder="1" applyAlignment="1">
      <alignment wrapText="1"/>
    </xf>
    <xf numFmtId="10" fontId="90" fillId="7" borderId="26" xfId="0" applyNumberFormat="1" applyFont="1" applyFill="1" applyBorder="1" applyAlignment="1">
      <alignment horizontal="right"/>
    </xf>
    <xf numFmtId="10" fontId="90" fillId="7" borderId="77" xfId="0" applyNumberFormat="1" applyFont="1" applyFill="1" applyBorder="1" applyAlignment="1">
      <alignment horizontal="right"/>
    </xf>
    <xf numFmtId="0" fontId="80" fillId="0" borderId="44" xfId="0" applyFont="1" applyBorder="1" applyAlignment="1">
      <alignment wrapText="1"/>
    </xf>
    <xf numFmtId="0" fontId="80" fillId="0" borderId="0" xfId="0" applyFont="1" applyAlignment="1">
      <alignment wrapText="1"/>
    </xf>
    <xf numFmtId="0" fontId="80" fillId="0" borderId="0" xfId="0" applyFont="1" applyAlignment="1">
      <alignment horizontal="right"/>
    </xf>
    <xf numFmtId="166" fontId="80" fillId="0" borderId="7" xfId="0" applyNumberFormat="1" applyFont="1" applyBorder="1" applyAlignment="1">
      <alignment horizontal="right"/>
    </xf>
    <xf numFmtId="49" fontId="80" fillId="0" borderId="8" xfId="0" applyNumberFormat="1" applyFont="1" applyBorder="1" applyAlignment="1">
      <alignment horizontal="left" wrapText="1"/>
    </xf>
    <xf numFmtId="0" fontId="80" fillId="0" borderId="9" xfId="0" applyFont="1" applyBorder="1"/>
    <xf numFmtId="164" fontId="80" fillId="0" borderId="63" xfId="5" applyNumberFormat="1" applyFont="1" applyBorder="1" applyAlignment="1">
      <alignment horizontal="center" textRotation="90" wrapText="1"/>
    </xf>
    <xf numFmtId="164" fontId="80" fillId="0" borderId="9" xfId="5" applyNumberFormat="1" applyFont="1" applyBorder="1" applyAlignment="1">
      <alignment horizontal="center" textRotation="90" wrapText="1"/>
    </xf>
    <xf numFmtId="164" fontId="80" fillId="0" borderId="79" xfId="5" applyNumberFormat="1" applyFont="1" applyBorder="1" applyAlignment="1">
      <alignment horizontal="center" textRotation="90" wrapText="1"/>
    </xf>
    <xf numFmtId="164" fontId="80" fillId="0" borderId="79" xfId="5" applyNumberFormat="1" applyFont="1" applyBorder="1" applyAlignment="1">
      <alignment horizontal="center"/>
    </xf>
    <xf numFmtId="0" fontId="79" fillId="0" borderId="7" xfId="0" applyFont="1" applyBorder="1"/>
    <xf numFmtId="49" fontId="80" fillId="0" borderId="31" xfId="0" applyNumberFormat="1" applyFont="1" applyBorder="1"/>
    <xf numFmtId="0" fontId="80" fillId="0" borderId="26" xfId="0" applyFont="1" applyBorder="1"/>
    <xf numFmtId="165" fontId="79" fillId="0" borderId="0" xfId="0" applyNumberFormat="1" applyFont="1"/>
    <xf numFmtId="49" fontId="80" fillId="0" borderId="33" xfId="0" applyNumberFormat="1" applyFont="1" applyBorder="1"/>
    <xf numFmtId="0" fontId="79" fillId="0" borderId="26" xfId="0" applyFont="1" applyBorder="1" applyAlignment="1">
      <alignment wrapText="1"/>
    </xf>
    <xf numFmtId="49" fontId="90" fillId="7" borderId="33" xfId="0" applyNumberFormat="1" applyFont="1" applyFill="1" applyBorder="1"/>
    <xf numFmtId="165" fontId="87" fillId="7" borderId="0" xfId="0" applyNumberFormat="1" applyFont="1" applyFill="1"/>
    <xf numFmtId="0" fontId="79" fillId="0" borderId="43" xfId="0" quotePrefix="1" applyFont="1" applyBorder="1" applyAlignment="1">
      <alignment horizontal="left"/>
    </xf>
    <xf numFmtId="49" fontId="87" fillId="7" borderId="19" xfId="0" applyNumberFormat="1" applyFont="1" applyFill="1" applyBorder="1" applyAlignment="1">
      <alignment horizontal="center"/>
    </xf>
    <xf numFmtId="1" fontId="79" fillId="0" borderId="0" xfId="0" applyNumberFormat="1" applyFont="1"/>
    <xf numFmtId="49" fontId="90" fillId="7" borderId="19" xfId="0" applyNumberFormat="1" applyFont="1" applyFill="1" applyBorder="1" applyAlignment="1">
      <alignment horizontal="center"/>
    </xf>
    <xf numFmtId="1" fontId="87" fillId="7" borderId="0" xfId="0" applyNumberFormat="1" applyFont="1" applyFill="1"/>
    <xf numFmtId="49" fontId="80" fillId="0" borderId="17" xfId="0" applyNumberFormat="1" applyFont="1" applyBorder="1" applyAlignment="1">
      <alignment horizontal="center"/>
    </xf>
    <xf numFmtId="0" fontId="79" fillId="0" borderId="14" xfId="0" applyFont="1" applyBorder="1" applyAlignment="1">
      <alignment horizontal="center"/>
    </xf>
    <xf numFmtId="166" fontId="113" fillId="0" borderId="0" xfId="5" applyNumberFormat="1" applyFont="1" applyAlignment="1">
      <alignment horizontal="right"/>
    </xf>
    <xf numFmtId="166" fontId="114" fillId="7" borderId="0" xfId="5" applyNumberFormat="1" applyFont="1" applyFill="1" applyAlignment="1">
      <alignment horizontal="right"/>
    </xf>
    <xf numFmtId="166" fontId="115" fillId="0" borderId="0" xfId="0" applyNumberFormat="1" applyFont="1" applyAlignment="1">
      <alignment horizontal="right"/>
    </xf>
    <xf numFmtId="165" fontId="109" fillId="0" borderId="0" xfId="0" applyNumberFormat="1" applyFont="1"/>
    <xf numFmtId="0" fontId="80" fillId="3" borderId="33" xfId="0" applyFont="1" applyFill="1" applyBorder="1"/>
    <xf numFmtId="0" fontId="90" fillId="7" borderId="33" xfId="0" applyFont="1" applyFill="1" applyBorder="1"/>
    <xf numFmtId="166" fontId="116" fillId="7" borderId="0" xfId="0" applyNumberFormat="1" applyFont="1" applyFill="1" applyAlignment="1">
      <alignment horizontal="right"/>
    </xf>
    <xf numFmtId="165" fontId="111" fillId="7" borderId="0" xfId="0" applyNumberFormat="1" applyFont="1" applyFill="1"/>
    <xf numFmtId="0" fontId="80" fillId="0" borderId="33" xfId="0" applyFont="1" applyBorder="1"/>
    <xf numFmtId="0" fontId="79" fillId="0" borderId="68" xfId="0" applyFont="1" applyBorder="1" applyAlignment="1">
      <alignment wrapText="1"/>
    </xf>
    <xf numFmtId="165" fontId="80" fillId="0" borderId="0" xfId="0" applyNumberFormat="1" applyFont="1"/>
    <xf numFmtId="165" fontId="110" fillId="0" borderId="0" xfId="0" applyNumberFormat="1" applyFont="1"/>
    <xf numFmtId="0" fontId="110" fillId="0" borderId="0" xfId="0" applyFont="1"/>
    <xf numFmtId="0" fontId="80" fillId="0" borderId="0" xfId="0" applyFont="1"/>
    <xf numFmtId="0" fontId="79" fillId="4" borderId="54" xfId="0" applyFont="1" applyFill="1" applyBorder="1"/>
    <xf numFmtId="0" fontId="79" fillId="4" borderId="43" xfId="0" applyFont="1" applyFill="1" applyBorder="1" applyAlignment="1">
      <alignment wrapText="1"/>
    </xf>
    <xf numFmtId="0" fontId="79" fillId="4" borderId="12" xfId="0" applyFont="1" applyFill="1" applyBorder="1"/>
    <xf numFmtId="0" fontId="79" fillId="4" borderId="12" xfId="0" applyFont="1" applyFill="1" applyBorder="1" applyAlignment="1">
      <alignment wrapText="1"/>
    </xf>
    <xf numFmtId="165" fontId="79" fillId="4" borderId="12" xfId="0" applyNumberFormat="1" applyFont="1" applyFill="1" applyBorder="1"/>
    <xf numFmtId="165" fontId="79" fillId="4" borderId="56" xfId="0" applyNumberFormat="1" applyFont="1" applyFill="1" applyBorder="1"/>
    <xf numFmtId="165" fontId="79" fillId="4" borderId="39" xfId="0" applyNumberFormat="1" applyFont="1" applyFill="1" applyBorder="1"/>
    <xf numFmtId="0" fontId="87" fillId="7" borderId="6" xfId="0" applyFont="1" applyFill="1" applyBorder="1"/>
    <xf numFmtId="165" fontId="87" fillId="7" borderId="6" xfId="0" applyNumberFormat="1" applyFont="1" applyFill="1" applyBorder="1"/>
    <xf numFmtId="165" fontId="87" fillId="7" borderId="7" xfId="0" applyNumberFormat="1" applyFont="1" applyFill="1" applyBorder="1"/>
    <xf numFmtId="165" fontId="87" fillId="7" borderId="53" xfId="0" applyNumberFormat="1" applyFont="1" applyFill="1" applyBorder="1"/>
    <xf numFmtId="165" fontId="109" fillId="0" borderId="7" xfId="0" applyNumberFormat="1" applyFont="1" applyBorder="1"/>
    <xf numFmtId="0" fontId="109" fillId="0" borderId="7" xfId="0" applyFont="1" applyBorder="1"/>
    <xf numFmtId="49" fontId="117" fillId="7" borderId="14" xfId="0" applyNumberFormat="1" applyFont="1" applyFill="1" applyBorder="1" applyAlignment="1">
      <alignment horizontal="center"/>
    </xf>
    <xf numFmtId="0" fontId="117" fillId="7" borderId="5" xfId="0" applyFont="1" applyFill="1" applyBorder="1" applyAlignment="1">
      <alignment wrapText="1"/>
    </xf>
    <xf numFmtId="49" fontId="117" fillId="7" borderId="16" xfId="0" applyNumberFormat="1" applyFont="1" applyFill="1" applyBorder="1" applyAlignment="1">
      <alignment horizontal="center"/>
    </xf>
    <xf numFmtId="0" fontId="117" fillId="7" borderId="4" xfId="0" applyFont="1" applyFill="1" applyBorder="1" applyAlignment="1">
      <alignment wrapText="1"/>
    </xf>
    <xf numFmtId="0" fontId="117" fillId="7" borderId="43" xfId="0" applyFont="1" applyFill="1" applyBorder="1" applyAlignment="1">
      <alignment wrapText="1"/>
    </xf>
    <xf numFmtId="49" fontId="117" fillId="7" borderId="11" xfId="0" applyNumberFormat="1" applyFont="1" applyFill="1" applyBorder="1" applyAlignment="1">
      <alignment horizontal="center"/>
    </xf>
    <xf numFmtId="0" fontId="117" fillId="7" borderId="12" xfId="0" applyFont="1" applyFill="1" applyBorder="1" applyAlignment="1">
      <alignment wrapText="1"/>
    </xf>
    <xf numFmtId="49" fontId="117" fillId="7" borderId="8" xfId="0" applyNumberFormat="1" applyFont="1" applyFill="1" applyBorder="1" applyAlignment="1">
      <alignment horizontal="center"/>
    </xf>
    <xf numFmtId="0" fontId="117" fillId="7" borderId="9" xfId="0" applyFont="1" applyFill="1" applyBorder="1" applyAlignment="1">
      <alignment wrapText="1"/>
    </xf>
    <xf numFmtId="49" fontId="119" fillId="7" borderId="16" xfId="0" applyNumberFormat="1" applyFont="1" applyFill="1" applyBorder="1" applyAlignment="1">
      <alignment horizontal="center"/>
    </xf>
    <xf numFmtId="49" fontId="119" fillId="7" borderId="54" xfId="0" applyNumberFormat="1" applyFont="1" applyFill="1" applyBorder="1" applyAlignment="1">
      <alignment horizontal="center"/>
    </xf>
    <xf numFmtId="49" fontId="39" fillId="0" borderId="19" xfId="0" applyNumberFormat="1" applyFont="1" applyBorder="1" applyAlignment="1">
      <alignment horizontal="center" vertical="center"/>
    </xf>
    <xf numFmtId="0" fontId="39" fillId="0" borderId="6" xfId="0" applyFont="1" applyBorder="1" applyAlignment="1">
      <alignment wrapText="1"/>
    </xf>
    <xf numFmtId="49" fontId="121" fillId="7" borderId="14" xfId="0" applyNumberFormat="1" applyFont="1" applyFill="1" applyBorder="1" applyAlignment="1">
      <alignment horizontal="center"/>
    </xf>
    <xf numFmtId="0" fontId="121" fillId="7" borderId="5" xfId="0" applyFont="1" applyFill="1" applyBorder="1" applyAlignment="1">
      <alignment wrapText="1"/>
    </xf>
    <xf numFmtId="166" fontId="57" fillId="0" borderId="61" xfId="0" applyNumberFormat="1" applyFont="1" applyBorder="1"/>
    <xf numFmtId="6" fontId="122" fillId="0" borderId="0" xfId="0" applyNumberFormat="1" applyFont="1"/>
    <xf numFmtId="1" fontId="56" fillId="0" borderId="35" xfId="0" applyNumberFormat="1" applyFont="1" applyBorder="1" applyAlignment="1">
      <alignment horizontal="right"/>
    </xf>
    <xf numFmtId="1" fontId="56" fillId="0" borderId="20" xfId="0" applyNumberFormat="1" applyFont="1" applyBorder="1" applyAlignment="1">
      <alignment horizontal="right"/>
    </xf>
    <xf numFmtId="1" fontId="56" fillId="0" borderId="20" xfId="0" applyNumberFormat="1" applyFont="1" applyBorder="1" applyAlignment="1">
      <alignment horizontal="right" wrapText="1"/>
    </xf>
    <xf numFmtId="0" fontId="56" fillId="0" borderId="20" xfId="0" applyFont="1" applyBorder="1" applyAlignment="1">
      <alignment horizontal="right"/>
    </xf>
    <xf numFmtId="166" fontId="53" fillId="0" borderId="32" xfId="0" applyNumberFormat="1" applyFont="1" applyBorder="1" applyAlignment="1">
      <alignment horizontal="left"/>
    </xf>
    <xf numFmtId="166" fontId="55" fillId="0" borderId="36" xfId="0" applyNumberFormat="1" applyFont="1" applyBorder="1" applyAlignment="1">
      <alignment horizontal="left"/>
    </xf>
    <xf numFmtId="166" fontId="55" fillId="0" borderId="44" xfId="0" applyNumberFormat="1" applyFont="1" applyBorder="1" applyAlignment="1">
      <alignment horizontal="left"/>
    </xf>
    <xf numFmtId="1" fontId="56" fillId="0" borderId="45" xfId="0" applyNumberFormat="1" applyFont="1" applyBorder="1" applyAlignment="1">
      <alignment horizontal="right"/>
    </xf>
    <xf numFmtId="0" fontId="48" fillId="0" borderId="4" xfId="0" applyFont="1" applyBorder="1" applyAlignment="1">
      <alignment horizontal="left" vertical="center"/>
    </xf>
    <xf numFmtId="0" fontId="2" fillId="0" borderId="19" xfId="0" applyFont="1" applyBorder="1"/>
    <xf numFmtId="0" fontId="48" fillId="0" borderId="9" xfId="0" applyFont="1" applyBorder="1" applyAlignment="1">
      <alignment horizontal="left" wrapText="1"/>
    </xf>
    <xf numFmtId="49" fontId="87" fillId="7" borderId="19" xfId="0" applyNumberFormat="1" applyFont="1" applyFill="1" applyBorder="1" applyAlignment="1">
      <alignment horizontal="left" wrapText="1"/>
    </xf>
    <xf numFmtId="1" fontId="12" fillId="0" borderId="19" xfId="0" applyNumberFormat="1" applyFont="1" applyBorder="1"/>
    <xf numFmtId="0" fontId="12" fillId="0" borderId="54" xfId="0" applyFont="1" applyBorder="1" applyAlignment="1">
      <alignment wrapText="1"/>
    </xf>
    <xf numFmtId="1" fontId="12" fillId="0" borderId="51" xfId="0" applyNumberFormat="1" applyFont="1" applyBorder="1"/>
    <xf numFmtId="1" fontId="12" fillId="0" borderId="23" xfId="0" applyNumberFormat="1" applyFont="1" applyBorder="1"/>
    <xf numFmtId="1" fontId="12" fillId="0" borderId="13" xfId="0" applyNumberFormat="1" applyFont="1" applyBorder="1"/>
    <xf numFmtId="0" fontId="5" fillId="0" borderId="4" xfId="0" applyFont="1" applyBorder="1"/>
    <xf numFmtId="0" fontId="5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23" fillId="0" borderId="52" xfId="0" applyFont="1" applyBorder="1"/>
    <xf numFmtId="0" fontId="123" fillId="0" borderId="31" xfId="0" applyFont="1" applyBorder="1"/>
    <xf numFmtId="10" fontId="93" fillId="0" borderId="41" xfId="0" applyNumberFormat="1" applyFont="1" applyBorder="1"/>
    <xf numFmtId="0" fontId="92" fillId="0" borderId="0" xfId="0" applyFont="1"/>
    <xf numFmtId="49" fontId="88" fillId="7" borderId="16" xfId="0" applyNumberFormat="1" applyFont="1" applyFill="1" applyBorder="1" applyAlignment="1">
      <alignment horizontal="center" vertical="center"/>
    </xf>
    <xf numFmtId="49" fontId="88" fillId="7" borderId="16" xfId="0" applyNumberFormat="1" applyFont="1" applyFill="1" applyBorder="1" applyAlignment="1">
      <alignment horizontal="center"/>
    </xf>
    <xf numFmtId="49" fontId="107" fillId="7" borderId="14" xfId="0" applyNumberFormat="1" applyFont="1" applyFill="1" applyBorder="1" applyAlignment="1">
      <alignment horizontal="center"/>
    </xf>
    <xf numFmtId="49" fontId="7" fillId="3" borderId="5" xfId="0" applyNumberFormat="1" applyFont="1" applyFill="1" applyBorder="1" applyAlignment="1">
      <alignment wrapText="1"/>
    </xf>
    <xf numFmtId="0" fontId="39" fillId="3" borderId="5" xfId="0" applyFont="1" applyFill="1" applyBorder="1" applyAlignment="1">
      <alignment wrapText="1"/>
    </xf>
    <xf numFmtId="1" fontId="7" fillId="3" borderId="5" xfId="0" applyNumberFormat="1" applyFont="1" applyFill="1" applyBorder="1" applyAlignment="1">
      <alignment horizontal="right"/>
    </xf>
    <xf numFmtId="49" fontId="7" fillId="3" borderId="12" xfId="0" applyNumberFormat="1" applyFont="1" applyFill="1" applyBorder="1" applyAlignment="1">
      <alignment wrapText="1"/>
    </xf>
    <xf numFmtId="0" fontId="39" fillId="3" borderId="12" xfId="0" applyFont="1" applyFill="1" applyBorder="1" applyAlignment="1">
      <alignment wrapText="1"/>
    </xf>
    <xf numFmtId="49" fontId="39" fillId="0" borderId="5" xfId="0" applyNumberFormat="1" applyFont="1" applyBorder="1" applyAlignment="1">
      <alignment horizontal="center"/>
    </xf>
    <xf numFmtId="0" fontId="88" fillId="7" borderId="57" xfId="0" applyFont="1" applyFill="1" applyBorder="1" applyAlignment="1">
      <alignment wrapText="1"/>
    </xf>
    <xf numFmtId="49" fontId="121" fillId="7" borderId="16" xfId="0" applyNumberFormat="1" applyFont="1" applyFill="1" applyBorder="1" applyAlignment="1">
      <alignment horizontal="center"/>
    </xf>
    <xf numFmtId="0" fontId="121" fillId="7" borderId="4" xfId="0" applyFont="1" applyFill="1" applyBorder="1" applyAlignment="1">
      <alignment wrapText="1"/>
    </xf>
    <xf numFmtId="49" fontId="48" fillId="0" borderId="16" xfId="0" applyNumberFormat="1" applyFont="1" applyBorder="1" applyAlignment="1">
      <alignment horizontal="center" vertical="center" wrapText="1"/>
    </xf>
    <xf numFmtId="49" fontId="88" fillId="7" borderId="16" xfId="0" applyNumberFormat="1" applyFont="1" applyFill="1" applyBorder="1" applyAlignment="1">
      <alignment horizontal="center" vertical="center" wrapText="1"/>
    </xf>
    <xf numFmtId="1" fontId="7" fillId="3" borderId="15" xfId="0" applyNumberFormat="1" applyFont="1" applyFill="1" applyBorder="1" applyAlignment="1">
      <alignment horizontal="right"/>
    </xf>
    <xf numFmtId="0" fontId="0" fillId="0" borderId="34" xfId="0" applyBorder="1"/>
    <xf numFmtId="10" fontId="81" fillId="0" borderId="30" xfId="0" applyNumberFormat="1" applyFont="1" applyBorder="1"/>
    <xf numFmtId="166" fontId="55" fillId="0" borderId="36" xfId="0" applyNumberFormat="1" applyFont="1" applyBorder="1" applyAlignment="1">
      <alignment horizontal="right"/>
    </xf>
    <xf numFmtId="49" fontId="91" fillId="7" borderId="16" xfId="0" applyNumberFormat="1" applyFont="1" applyFill="1" applyBorder="1" applyAlignment="1">
      <alignment horizontal="center" vertical="center"/>
    </xf>
    <xf numFmtId="49" fontId="91" fillId="7" borderId="16" xfId="0" applyNumberFormat="1" applyFont="1" applyFill="1" applyBorder="1" applyAlignment="1">
      <alignment horizontal="center"/>
    </xf>
    <xf numFmtId="49" fontId="0" fillId="0" borderId="16" xfId="0" applyNumberFormat="1" applyBorder="1"/>
    <xf numFmtId="0" fontId="42" fillId="0" borderId="5" xfId="0" applyFont="1" applyBorder="1" applyAlignment="1">
      <alignment horizontal="left" vertical="center"/>
    </xf>
    <xf numFmtId="0" fontId="42" fillId="0" borderId="12" xfId="0" applyFont="1" applyBorder="1" applyAlignment="1">
      <alignment horizontal="left" vertical="center"/>
    </xf>
    <xf numFmtId="0" fontId="40" fillId="0" borderId="1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95" fillId="7" borderId="4" xfId="0" applyFont="1" applyFill="1" applyBorder="1" applyAlignment="1">
      <alignment wrapText="1"/>
    </xf>
    <xf numFmtId="0" fontId="88" fillId="7" borderId="4" xfId="0" applyFont="1" applyFill="1" applyBorder="1" applyAlignment="1">
      <alignment horizontal="left"/>
    </xf>
    <xf numFmtId="10" fontId="95" fillId="7" borderId="4" xfId="0" applyNumberFormat="1" applyFont="1" applyFill="1" applyBorder="1" applyAlignment="1">
      <alignment horizontal="right"/>
    </xf>
    <xf numFmtId="10" fontId="95" fillId="7" borderId="23" xfId="0" applyNumberFormat="1" applyFont="1" applyFill="1" applyBorder="1" applyAlignment="1">
      <alignment horizontal="right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1" fontId="41" fillId="0" borderId="13" xfId="5" applyNumberFormat="1" applyFont="1" applyBorder="1" applyAlignment="1">
      <alignment horizontal="right"/>
    </xf>
    <xf numFmtId="0" fontId="7" fillId="3" borderId="5" xfId="0" applyFont="1" applyFill="1" applyBorder="1" applyAlignment="1">
      <alignment wrapText="1"/>
    </xf>
    <xf numFmtId="0" fontId="39" fillId="3" borderId="5" xfId="0" applyFont="1" applyFill="1" applyBorder="1" applyAlignment="1">
      <alignment horizontal="left"/>
    </xf>
    <xf numFmtId="0" fontId="7" fillId="3" borderId="26" xfId="0" applyFont="1" applyFill="1" applyBorder="1" applyAlignment="1">
      <alignment wrapText="1"/>
    </xf>
    <xf numFmtId="0" fontId="39" fillId="3" borderId="26" xfId="0" applyFont="1" applyFill="1" applyBorder="1" applyAlignment="1">
      <alignment horizontal="left"/>
    </xf>
    <xf numFmtId="0" fontId="39" fillId="0" borderId="5" xfId="0" applyFont="1" applyBorder="1" applyAlignment="1">
      <alignment horizontal="left"/>
    </xf>
    <xf numFmtId="0" fontId="94" fillId="7" borderId="4" xfId="0" applyFont="1" applyFill="1" applyBorder="1"/>
    <xf numFmtId="49" fontId="88" fillId="7" borderId="4" xfId="0" applyNumberFormat="1" applyFont="1" applyFill="1" applyBorder="1" applyAlignment="1">
      <alignment horizontal="left"/>
    </xf>
    <xf numFmtId="0" fontId="48" fillId="0" borderId="4" xfId="0" applyFont="1" applyBorder="1" applyAlignment="1">
      <alignment horizontal="left" wrapText="1"/>
    </xf>
    <xf numFmtId="0" fontId="39" fillId="0" borderId="12" xfId="0" applyFont="1" applyBorder="1" applyAlignment="1">
      <alignment horizontal="left"/>
    </xf>
    <xf numFmtId="1" fontId="41" fillId="8" borderId="23" xfId="5" applyNumberFormat="1" applyFont="1" applyFill="1" applyBorder="1" applyAlignment="1">
      <alignment horizontal="right"/>
    </xf>
    <xf numFmtId="164" fontId="40" fillId="8" borderId="23" xfId="5" applyNumberFormat="1" applyFont="1" applyFill="1" applyBorder="1" applyAlignment="1">
      <alignment horizontal="center" vertical="center"/>
    </xf>
    <xf numFmtId="1" fontId="1" fillId="8" borderId="23" xfId="0" applyNumberFormat="1" applyFont="1" applyFill="1" applyBorder="1" applyAlignment="1">
      <alignment horizontal="right"/>
    </xf>
    <xf numFmtId="49" fontId="49" fillId="0" borderId="19" xfId="0" applyNumberFormat="1" applyFont="1" applyBorder="1" applyAlignment="1">
      <alignment horizontal="left" wrapText="1"/>
    </xf>
    <xf numFmtId="0" fontId="50" fillId="0" borderId="9" xfId="0" applyFont="1" applyBorder="1"/>
    <xf numFmtId="0" fontId="4" fillId="0" borderId="17" xfId="0" applyFont="1" applyBorder="1" applyAlignment="1">
      <alignment wrapText="1"/>
    </xf>
    <xf numFmtId="1" fontId="12" fillId="0" borderId="0" xfId="0" applyNumberFormat="1" applyFont="1"/>
    <xf numFmtId="166" fontId="56" fillId="0" borderId="44" xfId="0" applyNumberFormat="1" applyFont="1" applyBorder="1" applyAlignment="1">
      <alignment horizontal="right"/>
    </xf>
    <xf numFmtId="166" fontId="56" fillId="0" borderId="44" xfId="0" applyNumberFormat="1" applyFont="1" applyBorder="1" applyAlignment="1">
      <alignment horizontal="right" wrapText="1"/>
    </xf>
    <xf numFmtId="49" fontId="49" fillId="0" borderId="17" xfId="0" applyNumberFormat="1" applyFont="1" applyBorder="1" applyAlignment="1">
      <alignment horizontal="left" wrapText="1"/>
    </xf>
    <xf numFmtId="0" fontId="49" fillId="0" borderId="52" xfId="0" applyFont="1" applyBorder="1"/>
    <xf numFmtId="49" fontId="49" fillId="0" borderId="17" xfId="0" applyNumberFormat="1" applyFont="1" applyBorder="1" applyAlignment="1">
      <alignment horizontal="center"/>
    </xf>
    <xf numFmtId="49" fontId="49" fillId="0" borderId="19" xfId="0" applyNumberFormat="1" applyFont="1" applyBorder="1" applyAlignment="1">
      <alignment horizontal="center"/>
    </xf>
    <xf numFmtId="0" fontId="49" fillId="0" borderId="6" xfId="0" applyFont="1" applyBorder="1"/>
    <xf numFmtId="49" fontId="49" fillId="0" borderId="5" xfId="0" applyNumberFormat="1" applyFont="1" applyBorder="1"/>
    <xf numFmtId="0" fontId="1" fillId="0" borderId="18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49" fontId="42" fillId="0" borderId="11" xfId="0" applyNumberFormat="1" applyFont="1" applyBorder="1" applyAlignment="1">
      <alignment horizontal="center" vertical="center"/>
    </xf>
    <xf numFmtId="49" fontId="42" fillId="0" borderId="17" xfId="0" applyNumberFormat="1" applyFont="1" applyBorder="1" applyAlignment="1">
      <alignment horizontal="center" wrapText="1"/>
    </xf>
    <xf numFmtId="0" fontId="39" fillId="0" borderId="52" xfId="0" applyFont="1" applyBorder="1" applyAlignment="1">
      <alignment wrapText="1"/>
    </xf>
    <xf numFmtId="49" fontId="39" fillId="0" borderId="17" xfId="0" applyNumberFormat="1" applyFont="1" applyBorder="1" applyAlignment="1">
      <alignment horizontal="center" vertical="center"/>
    </xf>
    <xf numFmtId="0" fontId="103" fillId="7" borderId="6" xfId="0" applyFont="1" applyFill="1" applyBorder="1" applyAlignment="1">
      <alignment wrapText="1"/>
    </xf>
    <xf numFmtId="0" fontId="103" fillId="7" borderId="12" xfId="0" applyFont="1" applyFill="1" applyBorder="1" applyAlignment="1">
      <alignment wrapText="1"/>
    </xf>
    <xf numFmtId="166" fontId="55" fillId="0" borderId="0" xfId="0" applyNumberFormat="1" applyFont="1" applyAlignment="1">
      <alignment horizontal="left" wrapText="1"/>
    </xf>
    <xf numFmtId="0" fontId="2" fillId="0" borderId="20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9" fontId="103" fillId="7" borderId="19" xfId="0" applyNumberFormat="1" applyFont="1" applyFill="1" applyBorder="1" applyAlignment="1">
      <alignment horizontal="center"/>
    </xf>
    <xf numFmtId="49" fontId="103" fillId="7" borderId="11" xfId="0" applyNumberFormat="1" applyFont="1" applyFill="1" applyBorder="1" applyAlignment="1">
      <alignment horizontal="center"/>
    </xf>
    <xf numFmtId="49" fontId="48" fillId="4" borderId="5" xfId="0" applyNumberFormat="1" applyFont="1" applyFill="1" applyBorder="1" applyAlignment="1">
      <alignment wrapText="1"/>
    </xf>
    <xf numFmtId="0" fontId="39" fillId="4" borderId="5" xfId="0" applyFont="1" applyFill="1" applyBorder="1" applyAlignment="1">
      <alignment wrapText="1"/>
    </xf>
    <xf numFmtId="49" fontId="48" fillId="4" borderId="12" xfId="0" applyNumberFormat="1" applyFont="1" applyFill="1" applyBorder="1" applyAlignment="1">
      <alignment wrapText="1"/>
    </xf>
    <xf numFmtId="0" fontId="48" fillId="4" borderId="52" xfId="0" applyFont="1" applyFill="1" applyBorder="1" applyAlignment="1">
      <alignment wrapText="1"/>
    </xf>
    <xf numFmtId="0" fontId="39" fillId="4" borderId="52" xfId="0" applyFont="1" applyFill="1" applyBorder="1" applyAlignment="1">
      <alignment wrapText="1"/>
    </xf>
    <xf numFmtId="166" fontId="48" fillId="4" borderId="52" xfId="0" applyNumberFormat="1" applyFont="1" applyFill="1" applyBorder="1" applyAlignment="1">
      <alignment horizontal="right"/>
    </xf>
    <xf numFmtId="166" fontId="48" fillId="4" borderId="64" xfId="0" applyNumberFormat="1" applyFont="1" applyFill="1" applyBorder="1" applyAlignment="1">
      <alignment horizontal="right"/>
    </xf>
    <xf numFmtId="166" fontId="48" fillId="4" borderId="74" xfId="0" applyNumberFormat="1" applyFont="1" applyFill="1" applyBorder="1" applyAlignment="1">
      <alignment horizontal="right"/>
    </xf>
    <xf numFmtId="49" fontId="2" fillId="0" borderId="44" xfId="0" applyNumberFormat="1" applyFont="1" applyBorder="1"/>
    <xf numFmtId="49" fontId="2" fillId="0" borderId="8" xfId="0" applyNumberFormat="1" applyFont="1" applyBorder="1"/>
    <xf numFmtId="49" fontId="50" fillId="0" borderId="16" xfId="0" applyNumberFormat="1" applyFont="1" applyBorder="1" applyAlignment="1">
      <alignment horizontal="left" wrapText="1"/>
    </xf>
    <xf numFmtId="49" fontId="50" fillId="0" borderId="8" xfId="0" applyNumberFormat="1" applyFont="1" applyBorder="1" applyAlignment="1">
      <alignment horizontal="left" wrapText="1"/>
    </xf>
    <xf numFmtId="49" fontId="50" fillId="0" borderId="14" xfId="0" applyNumberFormat="1" applyFont="1" applyBorder="1" applyAlignment="1">
      <alignment horizontal="center"/>
    </xf>
    <xf numFmtId="49" fontId="2" fillId="0" borderId="52" xfId="0" applyNumberFormat="1" applyFont="1" applyBorder="1"/>
    <xf numFmtId="10" fontId="42" fillId="4" borderId="56" xfId="0" applyNumberFormat="1" applyFont="1" applyFill="1" applyBorder="1"/>
    <xf numFmtId="49" fontId="2" fillId="0" borderId="0" xfId="0" applyNumberFormat="1" applyFont="1"/>
    <xf numFmtId="165" fontId="42" fillId="0" borderId="34" xfId="0" applyNumberFormat="1" applyFont="1" applyBorder="1"/>
    <xf numFmtId="49" fontId="42" fillId="0" borderId="17" xfId="0" applyNumberFormat="1" applyFont="1" applyBorder="1" applyAlignment="1">
      <alignment horizontal="left" wrapText="1"/>
    </xf>
    <xf numFmtId="0" fontId="42" fillId="0" borderId="52" xfId="0" applyFont="1" applyBorder="1"/>
    <xf numFmtId="49" fontId="42" fillId="0" borderId="17" xfId="0" applyNumberFormat="1" applyFont="1" applyBorder="1" applyAlignment="1">
      <alignment horizontal="center"/>
    </xf>
    <xf numFmtId="49" fontId="48" fillId="4" borderId="48" xfId="0" applyNumberFormat="1" applyFont="1" applyFill="1" applyBorder="1"/>
    <xf numFmtId="0" fontId="42" fillId="4" borderId="52" xfId="0" applyFont="1" applyFill="1" applyBorder="1"/>
    <xf numFmtId="49" fontId="48" fillId="4" borderId="31" xfId="0" applyNumberFormat="1" applyFont="1" applyFill="1" applyBorder="1"/>
    <xf numFmtId="0" fontId="42" fillId="4" borderId="26" xfId="0" applyFont="1" applyFill="1" applyBorder="1"/>
    <xf numFmtId="0" fontId="42" fillId="0" borderId="19" xfId="0" applyFont="1" applyBorder="1" applyAlignment="1">
      <alignment horizontal="center"/>
    </xf>
    <xf numFmtId="0" fontId="42" fillId="0" borderId="6" xfId="0" applyFont="1" applyBorder="1" applyAlignment="1">
      <alignment wrapText="1"/>
    </xf>
    <xf numFmtId="0" fontId="48" fillId="4" borderId="52" xfId="0" applyFont="1" applyFill="1" applyBorder="1"/>
    <xf numFmtId="165" fontId="48" fillId="4" borderId="52" xfId="0" applyNumberFormat="1" applyFont="1" applyFill="1" applyBorder="1"/>
    <xf numFmtId="165" fontId="48" fillId="4" borderId="64" xfId="0" applyNumberFormat="1" applyFont="1" applyFill="1" applyBorder="1"/>
    <xf numFmtId="165" fontId="48" fillId="4" borderId="74" xfId="0" applyNumberFormat="1" applyFont="1" applyFill="1" applyBorder="1"/>
    <xf numFmtId="49" fontId="65" fillId="0" borderId="5" xfId="0" applyNumberFormat="1" applyFont="1" applyBorder="1" applyAlignment="1">
      <alignment horizontal="center"/>
    </xf>
    <xf numFmtId="49" fontId="65" fillId="0" borderId="11" xfId="0" applyNumberFormat="1" applyFont="1" applyBorder="1" applyAlignment="1">
      <alignment horizontal="center"/>
    </xf>
    <xf numFmtId="49" fontId="39" fillId="0" borderId="27" xfId="0" applyNumberFormat="1" applyFont="1" applyBorder="1" applyAlignment="1">
      <alignment horizontal="center"/>
    </xf>
    <xf numFmtId="49" fontId="39" fillId="0" borderId="78" xfId="0" applyNumberFormat="1" applyFont="1" applyBorder="1" applyAlignment="1">
      <alignment horizontal="center"/>
    </xf>
    <xf numFmtId="0" fontId="39" fillId="0" borderId="65" xfId="0" applyFont="1" applyBorder="1" applyAlignment="1">
      <alignment wrapText="1"/>
    </xf>
    <xf numFmtId="49" fontId="42" fillId="0" borderId="14" xfId="0" applyNumberFormat="1" applyFont="1" applyBorder="1" applyAlignment="1">
      <alignment horizontal="center" vertical="center" wrapText="1"/>
    </xf>
    <xf numFmtId="49" fontId="42" fillId="0" borderId="11" xfId="0" applyNumberFormat="1" applyFont="1" applyBorder="1" applyAlignment="1">
      <alignment horizontal="center" vertical="center" wrapText="1"/>
    </xf>
    <xf numFmtId="49" fontId="42" fillId="0" borderId="14" xfId="0" applyNumberFormat="1" applyFont="1" applyBorder="1" applyAlignment="1">
      <alignment horizontal="center" vertical="center"/>
    </xf>
    <xf numFmtId="49" fontId="107" fillId="7" borderId="11" xfId="0" applyNumberFormat="1" applyFont="1" applyFill="1" applyBorder="1" applyAlignment="1">
      <alignment horizontal="center"/>
    </xf>
    <xf numFmtId="0" fontId="42" fillId="0" borderId="28" xfId="0" applyFont="1" applyBorder="1" applyAlignment="1">
      <alignment horizontal="left" vertical="center"/>
    </xf>
    <xf numFmtId="49" fontId="42" fillId="0" borderId="5" xfId="0" applyNumberFormat="1" applyFont="1" applyBorder="1" applyAlignment="1">
      <alignment horizontal="center" vertical="center"/>
    </xf>
    <xf numFmtId="0" fontId="42" fillId="0" borderId="65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31" xfId="0" applyFont="1" applyBorder="1" applyAlignment="1">
      <alignment wrapText="1"/>
    </xf>
    <xf numFmtId="3" fontId="1" fillId="0" borderId="18" xfId="0" applyNumberFormat="1" applyFont="1" applyBorder="1" applyAlignment="1">
      <alignment horizontal="center"/>
    </xf>
    <xf numFmtId="3" fontId="2" fillId="0" borderId="79" xfId="0" applyNumberFormat="1" applyFont="1" applyBorder="1"/>
    <xf numFmtId="3" fontId="1" fillId="0" borderId="30" xfId="0" applyNumberFormat="1" applyFont="1" applyBorder="1" applyAlignment="1">
      <alignment horizontal="center"/>
    </xf>
    <xf numFmtId="3" fontId="1" fillId="0" borderId="26" xfId="0" applyNumberFormat="1" applyFont="1" applyBorder="1" applyAlignment="1">
      <alignment horizontal="center"/>
    </xf>
    <xf numFmtId="165" fontId="108" fillId="0" borderId="0" xfId="0" applyNumberFormat="1" applyFont="1"/>
    <xf numFmtId="49" fontId="87" fillId="7" borderId="44" xfId="0" applyNumberFormat="1" applyFont="1" applyFill="1" applyBorder="1" applyAlignment="1">
      <alignment horizontal="center"/>
    </xf>
    <xf numFmtId="49" fontId="79" fillId="0" borderId="17" xfId="0" applyNumberFormat="1" applyFont="1" applyBorder="1" applyAlignment="1">
      <alignment horizontal="center" vertical="center"/>
    </xf>
    <xf numFmtId="49" fontId="79" fillId="0" borderId="17" xfId="0" applyNumberFormat="1" applyFont="1" applyBorder="1" applyAlignment="1">
      <alignment horizontal="center" wrapText="1"/>
    </xf>
    <xf numFmtId="49" fontId="117" fillId="7" borderId="19" xfId="0" applyNumberFormat="1" applyFont="1" applyFill="1" applyBorder="1" applyAlignment="1">
      <alignment horizontal="center"/>
    </xf>
    <xf numFmtId="0" fontId="117" fillId="7" borderId="6" xfId="0" applyFont="1" applyFill="1" applyBorder="1" applyAlignment="1">
      <alignment wrapText="1"/>
    </xf>
    <xf numFmtId="49" fontId="80" fillId="3" borderId="48" xfId="0" applyNumberFormat="1" applyFont="1" applyFill="1" applyBorder="1" applyAlignment="1">
      <alignment wrapText="1"/>
    </xf>
    <xf numFmtId="0" fontId="80" fillId="3" borderId="52" xfId="0" applyFont="1" applyFill="1" applyBorder="1" applyAlignment="1">
      <alignment wrapText="1"/>
    </xf>
    <xf numFmtId="166" fontId="79" fillId="0" borderId="0" xfId="0" applyNumberFormat="1" applyFont="1"/>
    <xf numFmtId="49" fontId="79" fillId="0" borderId="17" xfId="0" applyNumberFormat="1" applyFont="1" applyBorder="1" applyAlignment="1">
      <alignment horizontal="left" wrapText="1"/>
    </xf>
    <xf numFmtId="49" fontId="117" fillId="7" borderId="17" xfId="0" applyNumberFormat="1" applyFont="1" applyFill="1" applyBorder="1" applyAlignment="1">
      <alignment horizontal="center"/>
    </xf>
    <xf numFmtId="0" fontId="79" fillId="0" borderId="65" xfId="0" applyFont="1" applyBorder="1" applyAlignment="1">
      <alignment wrapText="1"/>
    </xf>
    <xf numFmtId="49" fontId="80" fillId="6" borderId="17" xfId="0" applyNumberFormat="1" applyFont="1" applyFill="1" applyBorder="1" applyAlignment="1">
      <alignment horizontal="center"/>
    </xf>
    <xf numFmtId="0" fontId="79" fillId="6" borderId="52" xfId="0" applyFont="1" applyFill="1" applyBorder="1" applyAlignment="1">
      <alignment wrapText="1"/>
    </xf>
    <xf numFmtId="49" fontId="80" fillId="6" borderId="18" xfId="0" applyNumberFormat="1" applyFont="1" applyFill="1" applyBorder="1" applyAlignment="1">
      <alignment horizontal="center"/>
    </xf>
    <xf numFmtId="0" fontId="79" fillId="6" borderId="26" xfId="0" applyFont="1" applyFill="1" applyBorder="1" applyAlignment="1">
      <alignment wrapText="1"/>
    </xf>
    <xf numFmtId="0" fontId="87" fillId="7" borderId="57" xfId="0" applyFont="1" applyFill="1" applyBorder="1"/>
    <xf numFmtId="0" fontId="87" fillId="7" borderId="43" xfId="0" applyFont="1" applyFill="1" applyBorder="1"/>
    <xf numFmtId="10" fontId="111" fillId="7" borderId="43" xfId="0" applyNumberFormat="1" applyFont="1" applyFill="1" applyBorder="1"/>
    <xf numFmtId="10" fontId="111" fillId="7" borderId="55" xfId="0" applyNumberFormat="1" applyFont="1" applyFill="1" applyBorder="1"/>
    <xf numFmtId="0" fontId="80" fillId="3" borderId="26" xfId="0" applyFont="1" applyFill="1" applyBorder="1"/>
    <xf numFmtId="0" fontId="79" fillId="0" borderId="34" xfId="0" applyFont="1" applyBorder="1"/>
    <xf numFmtId="165" fontId="109" fillId="0" borderId="34" xfId="0" applyNumberFormat="1" applyFont="1" applyBorder="1"/>
    <xf numFmtId="49" fontId="49" fillId="0" borderId="8" xfId="0" applyNumberFormat="1" applyFont="1" applyBorder="1" applyAlignment="1">
      <alignment horizontal="left" wrapText="1"/>
    </xf>
    <xf numFmtId="3" fontId="0" fillId="0" borderId="23" xfId="0" applyNumberFormat="1" applyBorder="1"/>
    <xf numFmtId="3" fontId="0" fillId="0" borderId="22" xfId="0" applyNumberFormat="1" applyBorder="1"/>
    <xf numFmtId="3" fontId="73" fillId="3" borderId="13" xfId="5" applyNumberFormat="1" applyFont="1" applyFill="1" applyBorder="1" applyAlignment="1">
      <alignment horizontal="right"/>
    </xf>
    <xf numFmtId="3" fontId="73" fillId="3" borderId="15" xfId="5" applyNumberFormat="1" applyFont="1" applyFill="1" applyBorder="1" applyAlignment="1">
      <alignment horizontal="right"/>
    </xf>
    <xf numFmtId="3" fontId="89" fillId="7" borderId="13" xfId="5" applyNumberFormat="1" applyFont="1" applyFill="1" applyBorder="1" applyAlignment="1">
      <alignment horizontal="right"/>
    </xf>
    <xf numFmtId="3" fontId="73" fillId="3" borderId="10" xfId="5" applyNumberFormat="1" applyFont="1" applyFill="1" applyBorder="1" applyAlignment="1">
      <alignment horizontal="right"/>
    </xf>
    <xf numFmtId="3" fontId="73" fillId="3" borderId="55" xfId="5" applyNumberFormat="1" applyFont="1" applyFill="1" applyBorder="1" applyAlignment="1">
      <alignment horizontal="right"/>
    </xf>
    <xf numFmtId="3" fontId="73" fillId="3" borderId="23" xfId="5" applyNumberFormat="1" applyFont="1" applyFill="1" applyBorder="1" applyAlignment="1">
      <alignment horizontal="right"/>
    </xf>
    <xf numFmtId="3" fontId="2" fillId="0" borderId="43" xfId="0" applyNumberFormat="1" applyFont="1" applyBorder="1" applyAlignment="1">
      <alignment horizontal="right"/>
    </xf>
    <xf numFmtId="3" fontId="2" fillId="0" borderId="61" xfId="0" applyNumberFormat="1" applyFont="1" applyBorder="1" applyAlignment="1">
      <alignment horizontal="right"/>
    </xf>
    <xf numFmtId="3" fontId="94" fillId="7" borderId="43" xfId="0" applyNumberFormat="1" applyFont="1" applyFill="1" applyBorder="1" applyAlignment="1">
      <alignment horizontal="right"/>
    </xf>
    <xf numFmtId="3" fontId="94" fillId="7" borderId="61" xfId="0" applyNumberFormat="1" applyFont="1" applyFill="1" applyBorder="1" applyAlignment="1">
      <alignment horizontal="right"/>
    </xf>
    <xf numFmtId="3" fontId="89" fillId="7" borderId="55" xfId="5" applyNumberFormat="1" applyFont="1" applyFill="1" applyBorder="1" applyAlignment="1">
      <alignment horizontal="right"/>
    </xf>
    <xf numFmtId="3" fontId="7" fillId="0" borderId="26" xfId="0" applyNumberFormat="1" applyFont="1" applyBorder="1" applyAlignment="1">
      <alignment horizontal="right"/>
    </xf>
    <xf numFmtId="3" fontId="7" fillId="0" borderId="21" xfId="0" applyNumberFormat="1" applyFont="1" applyBorder="1" applyAlignment="1">
      <alignment horizontal="right"/>
    </xf>
    <xf numFmtId="3" fontId="41" fillId="0" borderId="22" xfId="5" applyNumberFormat="1" applyFont="1" applyBorder="1" applyAlignment="1">
      <alignment horizontal="right"/>
    </xf>
    <xf numFmtId="3" fontId="7" fillId="3" borderId="26" xfId="0" applyNumberFormat="1" applyFont="1" applyFill="1" applyBorder="1" applyAlignment="1">
      <alignment horizontal="right"/>
    </xf>
    <xf numFmtId="3" fontId="7" fillId="3" borderId="22" xfId="0" applyNumberFormat="1" applyFont="1" applyFill="1" applyBorder="1" applyAlignment="1">
      <alignment horizontal="right"/>
    </xf>
    <xf numFmtId="3" fontId="39" fillId="0" borderId="5" xfId="5" applyNumberFormat="1" applyFont="1" applyBorder="1" applyAlignment="1">
      <alignment horizontal="right"/>
    </xf>
    <xf numFmtId="3" fontId="39" fillId="0" borderId="60" xfId="5" applyNumberFormat="1" applyFont="1" applyBorder="1" applyAlignment="1">
      <alignment horizontal="right"/>
    </xf>
    <xf numFmtId="3" fontId="41" fillId="8" borderId="23" xfId="5" applyNumberFormat="1" applyFont="1" applyFill="1" applyBorder="1" applyAlignment="1">
      <alignment horizontal="right"/>
    </xf>
    <xf numFmtId="3" fontId="39" fillId="0" borderId="52" xfId="5" applyNumberFormat="1" applyFont="1" applyBorder="1" applyAlignment="1">
      <alignment horizontal="right"/>
    </xf>
    <xf numFmtId="3" fontId="39" fillId="0" borderId="64" xfId="5" applyNumberFormat="1" applyFont="1" applyBorder="1" applyAlignment="1">
      <alignment horizontal="right"/>
    </xf>
    <xf numFmtId="3" fontId="73" fillId="8" borderId="13" xfId="5" applyNumberFormat="1" applyFont="1" applyFill="1" applyBorder="1" applyAlignment="1">
      <alignment horizontal="right"/>
    </xf>
    <xf numFmtId="3" fontId="73" fillId="8" borderId="15" xfId="5" applyNumberFormat="1" applyFont="1" applyFill="1" applyBorder="1" applyAlignment="1">
      <alignment horizontal="right"/>
    </xf>
    <xf numFmtId="3" fontId="88" fillId="7" borderId="52" xfId="5" applyNumberFormat="1" applyFont="1" applyFill="1" applyBorder="1" applyAlignment="1">
      <alignment horizontal="right"/>
    </xf>
    <xf numFmtId="3" fontId="88" fillId="7" borderId="64" xfId="5" applyNumberFormat="1" applyFont="1" applyFill="1" applyBorder="1" applyAlignment="1">
      <alignment horizontal="right"/>
    </xf>
    <xf numFmtId="3" fontId="89" fillId="8" borderId="13" xfId="5" applyNumberFormat="1" applyFont="1" applyFill="1" applyBorder="1" applyAlignment="1">
      <alignment horizontal="right"/>
    </xf>
    <xf numFmtId="3" fontId="39" fillId="0" borderId="9" xfId="5" applyNumberFormat="1" applyFont="1" applyBorder="1" applyAlignment="1">
      <alignment horizontal="right"/>
    </xf>
    <xf numFmtId="3" fontId="73" fillId="8" borderId="10" xfId="5" applyNumberFormat="1" applyFont="1" applyFill="1" applyBorder="1" applyAlignment="1">
      <alignment horizontal="right"/>
    </xf>
    <xf numFmtId="3" fontId="39" fillId="0" borderId="43" xfId="5" applyNumberFormat="1" applyFont="1" applyBorder="1" applyAlignment="1">
      <alignment horizontal="right"/>
    </xf>
    <xf numFmtId="3" fontId="73" fillId="8" borderId="55" xfId="5" applyNumberFormat="1" applyFont="1" applyFill="1" applyBorder="1" applyAlignment="1">
      <alignment horizontal="right"/>
    </xf>
    <xf numFmtId="3" fontId="39" fillId="0" borderId="4" xfId="5" applyNumberFormat="1" applyFont="1" applyBorder="1" applyAlignment="1">
      <alignment horizontal="right"/>
    </xf>
    <xf numFmtId="3" fontId="73" fillId="8" borderId="23" xfId="5" applyNumberFormat="1" applyFont="1" applyFill="1" applyBorder="1" applyAlignment="1">
      <alignment horizontal="right"/>
    </xf>
    <xf numFmtId="3" fontId="88" fillId="7" borderId="12" xfId="5" applyNumberFormat="1" applyFont="1" applyFill="1" applyBorder="1" applyAlignment="1">
      <alignment horizontal="right"/>
    </xf>
    <xf numFmtId="3" fontId="39" fillId="0" borderId="61" xfId="5" applyNumberFormat="1" applyFont="1" applyBorder="1" applyAlignment="1">
      <alignment horizontal="right"/>
    </xf>
    <xf numFmtId="3" fontId="39" fillId="0" borderId="62" xfId="5" applyNumberFormat="1" applyFont="1" applyBorder="1" applyAlignment="1">
      <alignment horizontal="right"/>
    </xf>
    <xf numFmtId="3" fontId="88" fillId="7" borderId="43" xfId="5" applyNumberFormat="1" applyFont="1" applyFill="1" applyBorder="1" applyAlignment="1">
      <alignment horizontal="right"/>
    </xf>
    <xf numFmtId="3" fontId="88" fillId="7" borderId="61" xfId="5" applyNumberFormat="1" applyFont="1" applyFill="1" applyBorder="1" applyAlignment="1">
      <alignment horizontal="right"/>
    </xf>
    <xf numFmtId="3" fontId="89" fillId="8" borderId="55" xfId="5" applyNumberFormat="1" applyFont="1" applyFill="1" applyBorder="1" applyAlignment="1">
      <alignment horizontal="right"/>
    </xf>
    <xf numFmtId="3" fontId="41" fillId="8" borderId="22" xfId="5" applyNumberFormat="1" applyFont="1" applyFill="1" applyBorder="1" applyAlignment="1">
      <alignment horizontal="right"/>
    </xf>
    <xf numFmtId="3" fontId="7" fillId="8" borderId="22" xfId="0" applyNumberFormat="1" applyFont="1" applyFill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8" borderId="23" xfId="0" applyNumberFormat="1" applyFont="1" applyFill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3" fontId="7" fillId="8" borderId="13" xfId="0" applyNumberFormat="1" applyFont="1" applyFill="1" applyBorder="1" applyAlignment="1">
      <alignment horizontal="right"/>
    </xf>
    <xf numFmtId="3" fontId="2" fillId="0" borderId="5" xfId="0" applyNumberFormat="1" applyFont="1" applyBorder="1" applyAlignment="1">
      <alignment horizontal="right"/>
    </xf>
    <xf numFmtId="3" fontId="7" fillId="0" borderId="15" xfId="0" applyNumberFormat="1" applyFont="1" applyBorder="1" applyAlignment="1">
      <alignment horizontal="right"/>
    </xf>
    <xf numFmtId="3" fontId="94" fillId="7" borderId="4" xfId="0" applyNumberFormat="1" applyFont="1" applyFill="1" applyBorder="1" applyAlignment="1">
      <alignment horizontal="right"/>
    </xf>
    <xf numFmtId="3" fontId="95" fillId="7" borderId="23" xfId="0" applyNumberFormat="1" applyFont="1" applyFill="1" applyBorder="1" applyAlignment="1">
      <alignment horizontal="right"/>
    </xf>
    <xf numFmtId="3" fontId="73" fillId="0" borderId="23" xfId="5" applyNumberFormat="1" applyFont="1" applyBorder="1" applyAlignment="1">
      <alignment horizontal="right"/>
    </xf>
    <xf numFmtId="3" fontId="48" fillId="0" borderId="23" xfId="5" applyNumberFormat="1" applyFont="1" applyBorder="1" applyAlignment="1">
      <alignment horizontal="right"/>
    </xf>
    <xf numFmtId="3" fontId="88" fillId="7" borderId="4" xfId="5" applyNumberFormat="1" applyFont="1" applyFill="1" applyBorder="1" applyAlignment="1">
      <alignment horizontal="right"/>
    </xf>
    <xf numFmtId="3" fontId="89" fillId="7" borderId="23" xfId="5" applyNumberFormat="1" applyFont="1" applyFill="1" applyBorder="1" applyAlignment="1">
      <alignment horizontal="right"/>
    </xf>
    <xf numFmtId="3" fontId="42" fillId="0" borderId="4" xfId="5" applyNumberFormat="1" applyFont="1" applyBorder="1" applyAlignment="1">
      <alignment horizontal="right" vertical="center" wrapText="1"/>
    </xf>
    <xf numFmtId="3" fontId="39" fillId="0" borderId="12" xfId="5" applyNumberFormat="1" applyFont="1" applyBorder="1" applyAlignment="1">
      <alignment horizontal="right"/>
    </xf>
    <xf numFmtId="3" fontId="7" fillId="8" borderId="15" xfId="0" applyNumberFormat="1" applyFont="1" applyFill="1" applyBorder="1" applyAlignment="1">
      <alignment horizontal="right"/>
    </xf>
    <xf numFmtId="3" fontId="88" fillId="7" borderId="56" xfId="5" applyNumberFormat="1" applyFont="1" applyFill="1" applyBorder="1" applyAlignment="1">
      <alignment horizontal="right"/>
    </xf>
    <xf numFmtId="3" fontId="95" fillId="8" borderId="13" xfId="0" applyNumberFormat="1" applyFont="1" applyFill="1" applyBorder="1" applyAlignment="1">
      <alignment horizontal="right"/>
    </xf>
    <xf numFmtId="3" fontId="7" fillId="0" borderId="52" xfId="0" applyNumberFormat="1" applyFont="1" applyBorder="1" applyAlignment="1">
      <alignment horizontal="right"/>
    </xf>
    <xf numFmtId="3" fontId="7" fillId="0" borderId="64" xfId="0" applyNumberFormat="1" applyFont="1" applyBorder="1" applyAlignment="1">
      <alignment horizontal="right"/>
    </xf>
    <xf numFmtId="3" fontId="2" fillId="8" borderId="40" xfId="0" applyNumberFormat="1" applyFont="1" applyFill="1" applyBorder="1" applyAlignment="1">
      <alignment horizontal="right"/>
    </xf>
    <xf numFmtId="3" fontId="7" fillId="3" borderId="6" xfId="0" applyNumberFormat="1" applyFont="1" applyFill="1" applyBorder="1" applyAlignment="1">
      <alignment horizontal="right"/>
    </xf>
    <xf numFmtId="3" fontId="7" fillId="3" borderId="7" xfId="0" applyNumberFormat="1" applyFont="1" applyFill="1" applyBorder="1" applyAlignment="1">
      <alignment horizontal="right"/>
    </xf>
    <xf numFmtId="3" fontId="7" fillId="3" borderId="70" xfId="0" applyNumberFormat="1" applyFont="1" applyFill="1" applyBorder="1" applyAlignment="1">
      <alignment horizontal="right"/>
    </xf>
    <xf numFmtId="3" fontId="0" fillId="0" borderId="4" xfId="0" applyNumberFormat="1" applyBorder="1" applyAlignment="1">
      <alignment horizontal="right"/>
    </xf>
    <xf numFmtId="3" fontId="0" fillId="0" borderId="62" xfId="0" applyNumberFormat="1" applyBorder="1" applyAlignment="1">
      <alignment horizontal="right"/>
    </xf>
    <xf numFmtId="3" fontId="1" fillId="8" borderId="23" xfId="0" applyNumberFormat="1" applyFont="1" applyFill="1" applyBorder="1" applyAlignment="1">
      <alignment horizontal="right"/>
    </xf>
    <xf numFmtId="3" fontId="0" fillId="0" borderId="12" xfId="0" applyNumberFormat="1" applyBorder="1" applyAlignment="1">
      <alignment horizontal="right"/>
    </xf>
    <xf numFmtId="3" fontId="0" fillId="0" borderId="56" xfId="0" applyNumberFormat="1" applyBorder="1" applyAlignment="1">
      <alignment horizontal="right"/>
    </xf>
    <xf numFmtId="3" fontId="1" fillId="8" borderId="13" xfId="0" applyNumberFormat="1" applyFont="1" applyFill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60" xfId="0" applyNumberFormat="1" applyBorder="1" applyAlignment="1">
      <alignment horizontal="right"/>
    </xf>
    <xf numFmtId="3" fontId="1" fillId="8" borderId="15" xfId="0" applyNumberFormat="1" applyFont="1" applyFill="1" applyBorder="1" applyAlignment="1">
      <alignment horizontal="right"/>
    </xf>
    <xf numFmtId="3" fontId="94" fillId="7" borderId="52" xfId="0" applyNumberFormat="1" applyFont="1" applyFill="1" applyBorder="1" applyAlignment="1">
      <alignment horizontal="right"/>
    </xf>
    <xf numFmtId="3" fontId="94" fillId="7" borderId="64" xfId="0" applyNumberFormat="1" applyFont="1" applyFill="1" applyBorder="1" applyAlignment="1">
      <alignment horizontal="right"/>
    </xf>
    <xf numFmtId="3" fontId="98" fillId="8" borderId="13" xfId="0" applyNumberFormat="1" applyFont="1" applyFill="1" applyBorder="1" applyAlignment="1">
      <alignment horizontal="right"/>
    </xf>
    <xf numFmtId="3" fontId="48" fillId="8" borderId="23" xfId="5" applyNumberFormat="1" applyFont="1" applyFill="1" applyBorder="1" applyAlignment="1">
      <alignment horizontal="right"/>
    </xf>
    <xf numFmtId="3" fontId="96" fillId="8" borderId="13" xfId="5" applyNumberFormat="1" applyFont="1" applyFill="1" applyBorder="1" applyAlignment="1">
      <alignment horizontal="right"/>
    </xf>
    <xf numFmtId="3" fontId="42" fillId="0" borderId="5" xfId="5" applyNumberFormat="1" applyFont="1" applyBorder="1" applyAlignment="1">
      <alignment horizontal="right" vertical="center" wrapText="1"/>
    </xf>
    <xf numFmtId="3" fontId="42" fillId="0" borderId="60" xfId="5" applyNumberFormat="1" applyFont="1" applyBorder="1" applyAlignment="1">
      <alignment horizontal="right" vertical="center" wrapText="1"/>
    </xf>
    <xf numFmtId="3" fontId="39" fillId="0" borderId="6" xfId="5" applyNumberFormat="1" applyFont="1" applyBorder="1" applyAlignment="1">
      <alignment horizontal="right"/>
    </xf>
    <xf numFmtId="3" fontId="39" fillId="0" borderId="7" xfId="5" applyNumberFormat="1" applyFont="1" applyBorder="1" applyAlignment="1">
      <alignment horizontal="right"/>
    </xf>
    <xf numFmtId="3" fontId="1" fillId="8" borderId="55" xfId="0" applyNumberFormat="1" applyFont="1" applyFill="1" applyBorder="1" applyAlignment="1">
      <alignment horizontal="right"/>
    </xf>
    <xf numFmtId="3" fontId="98" fillId="8" borderId="55" xfId="0" applyNumberFormat="1" applyFont="1" applyFill="1" applyBorder="1" applyAlignment="1">
      <alignment horizontal="right"/>
    </xf>
    <xf numFmtId="3" fontId="1" fillId="8" borderId="22" xfId="0" applyNumberFormat="1" applyFont="1" applyFill="1" applyBorder="1" applyAlignment="1">
      <alignment horizontal="right"/>
    </xf>
    <xf numFmtId="3" fontId="7" fillId="3" borderId="6" xfId="0" applyNumberFormat="1" applyFont="1" applyFill="1" applyBorder="1"/>
    <xf numFmtId="3" fontId="7" fillId="3" borderId="7" xfId="0" applyNumberFormat="1" applyFont="1" applyFill="1" applyBorder="1"/>
    <xf numFmtId="3" fontId="7" fillId="8" borderId="53" xfId="0" applyNumberFormat="1" applyFont="1" applyFill="1" applyBorder="1"/>
    <xf numFmtId="3" fontId="39" fillId="0" borderId="56" xfId="5" applyNumberFormat="1" applyFont="1" applyBorder="1" applyAlignment="1">
      <alignment horizontal="right"/>
    </xf>
    <xf numFmtId="3" fontId="39" fillId="7" borderId="12" xfId="5" applyNumberFormat="1" applyFont="1" applyFill="1" applyBorder="1" applyAlignment="1">
      <alignment horizontal="right"/>
    </xf>
    <xf numFmtId="3" fontId="39" fillId="7" borderId="56" xfId="5" applyNumberFormat="1" applyFont="1" applyFill="1" applyBorder="1" applyAlignment="1">
      <alignment horizontal="right"/>
    </xf>
    <xf numFmtId="3" fontId="16" fillId="0" borderId="5" xfId="0" applyNumberFormat="1" applyFont="1" applyBorder="1" applyAlignment="1">
      <alignment horizontal="right"/>
    </xf>
    <xf numFmtId="3" fontId="16" fillId="0" borderId="60" xfId="0" applyNumberFormat="1" applyFont="1" applyBorder="1" applyAlignment="1">
      <alignment horizontal="right"/>
    </xf>
    <xf numFmtId="3" fontId="16" fillId="0" borderId="43" xfId="0" applyNumberFormat="1" applyFont="1" applyBorder="1" applyAlignment="1">
      <alignment horizontal="right"/>
    </xf>
    <xf numFmtId="3" fontId="16" fillId="0" borderId="61" xfId="0" applyNumberFormat="1" applyFont="1" applyBorder="1" applyAlignment="1">
      <alignment horizontal="right"/>
    </xf>
    <xf numFmtId="3" fontId="42" fillId="8" borderId="15" xfId="5" applyNumberFormat="1" applyFont="1" applyFill="1" applyBorder="1" applyAlignment="1">
      <alignment horizontal="right" vertical="center"/>
    </xf>
    <xf numFmtId="3" fontId="42" fillId="0" borderId="12" xfId="5" applyNumberFormat="1" applyFont="1" applyBorder="1" applyAlignment="1">
      <alignment horizontal="right" vertical="center" wrapText="1"/>
    </xf>
    <xf numFmtId="3" fontId="42" fillId="3" borderId="13" xfId="5" applyNumberFormat="1" applyFont="1" applyFill="1" applyBorder="1" applyAlignment="1">
      <alignment horizontal="right" vertical="center"/>
    </xf>
    <xf numFmtId="3" fontId="42" fillId="3" borderId="15" xfId="5" applyNumberFormat="1" applyFont="1" applyFill="1" applyBorder="1" applyAlignment="1">
      <alignment horizontal="right" vertical="center"/>
    </xf>
    <xf numFmtId="3" fontId="91" fillId="7" borderId="12" xfId="5" applyNumberFormat="1" applyFont="1" applyFill="1" applyBorder="1" applyAlignment="1">
      <alignment horizontal="right" vertical="center" wrapText="1"/>
    </xf>
    <xf numFmtId="3" fontId="91" fillId="7" borderId="13" xfId="5" applyNumberFormat="1" applyFont="1" applyFill="1" applyBorder="1" applyAlignment="1">
      <alignment horizontal="right" vertical="center"/>
    </xf>
    <xf numFmtId="3" fontId="91" fillId="7" borderId="4" xfId="5" applyNumberFormat="1" applyFont="1" applyFill="1" applyBorder="1" applyAlignment="1">
      <alignment horizontal="right"/>
    </xf>
    <xf numFmtId="3" fontId="7" fillId="0" borderId="68" xfId="0" applyNumberFormat="1" applyFont="1" applyBorder="1" applyAlignment="1">
      <alignment horizontal="right"/>
    </xf>
    <xf numFmtId="3" fontId="42" fillId="0" borderId="15" xfId="5" applyNumberFormat="1" applyFont="1" applyBorder="1" applyAlignment="1">
      <alignment horizontal="right" vertical="center"/>
    </xf>
    <xf numFmtId="3" fontId="7" fillId="3" borderId="43" xfId="0" applyNumberFormat="1" applyFont="1" applyFill="1" applyBorder="1" applyAlignment="1">
      <alignment horizontal="right"/>
    </xf>
    <xf numFmtId="3" fontId="7" fillId="3" borderId="55" xfId="0" applyNumberFormat="1" applyFont="1" applyFill="1" applyBorder="1" applyAlignment="1">
      <alignment horizontal="right"/>
    </xf>
    <xf numFmtId="3" fontId="42" fillId="8" borderId="13" xfId="5" applyNumberFormat="1" applyFont="1" applyFill="1" applyBorder="1" applyAlignment="1">
      <alignment horizontal="right" vertical="center"/>
    </xf>
    <xf numFmtId="3" fontId="91" fillId="8" borderId="13" xfId="5" applyNumberFormat="1" applyFont="1" applyFill="1" applyBorder="1" applyAlignment="1">
      <alignment horizontal="right" vertical="center"/>
    </xf>
    <xf numFmtId="3" fontId="42" fillId="0" borderId="10" xfId="5" applyNumberFormat="1" applyFont="1" applyBorder="1" applyAlignment="1">
      <alignment horizontal="right" vertical="center"/>
    </xf>
    <xf numFmtId="3" fontId="7" fillId="8" borderId="55" xfId="0" applyNumberFormat="1" applyFont="1" applyFill="1" applyBorder="1" applyAlignment="1">
      <alignment horizontal="right"/>
    </xf>
    <xf numFmtId="3" fontId="40" fillId="0" borderId="4" xfId="5" applyNumberFormat="1" applyFont="1" applyBorder="1" applyAlignment="1">
      <alignment horizontal="center" vertical="center" wrapText="1"/>
    </xf>
    <xf numFmtId="3" fontId="40" fillId="0" borderId="23" xfId="5" applyNumberFormat="1" applyFont="1" applyBorder="1" applyAlignment="1">
      <alignment horizontal="center" vertical="center"/>
    </xf>
    <xf numFmtId="3" fontId="42" fillId="3" borderId="23" xfId="5" applyNumberFormat="1" applyFont="1" applyFill="1" applyBorder="1" applyAlignment="1">
      <alignment horizontal="right" vertical="center"/>
    </xf>
    <xf numFmtId="3" fontId="91" fillId="7" borderId="4" xfId="5" applyNumberFormat="1" applyFont="1" applyFill="1" applyBorder="1" applyAlignment="1">
      <alignment horizontal="right" vertical="center" wrapText="1"/>
    </xf>
    <xf numFmtId="3" fontId="91" fillId="7" borderId="23" xfId="5" applyNumberFormat="1" applyFont="1" applyFill="1" applyBorder="1" applyAlignment="1">
      <alignment horizontal="right" vertical="center"/>
    </xf>
    <xf numFmtId="3" fontId="42" fillId="0" borderId="40" xfId="5" applyNumberFormat="1" applyFont="1" applyBorder="1" applyAlignment="1">
      <alignment horizontal="right" vertical="center"/>
    </xf>
    <xf numFmtId="3" fontId="7" fillId="3" borderId="53" xfId="0" applyNumberFormat="1" applyFont="1" applyFill="1" applyBorder="1" applyAlignment="1">
      <alignment horizontal="right"/>
    </xf>
    <xf numFmtId="3" fontId="42" fillId="8" borderId="23" xfId="5" applyNumberFormat="1" applyFont="1" applyFill="1" applyBorder="1" applyAlignment="1">
      <alignment horizontal="right" vertical="center"/>
    </xf>
    <xf numFmtId="3" fontId="48" fillId="3" borderId="13" xfId="5" applyNumberFormat="1" applyFont="1" applyFill="1" applyBorder="1" applyAlignment="1">
      <alignment horizontal="right" vertical="center"/>
    </xf>
    <xf numFmtId="3" fontId="48" fillId="3" borderId="15" xfId="5" applyNumberFormat="1" applyFont="1" applyFill="1" applyBorder="1" applyAlignment="1">
      <alignment horizontal="right" vertical="center"/>
    </xf>
    <xf numFmtId="3" fontId="96" fillId="7" borderId="23" xfId="5" applyNumberFormat="1" applyFont="1" applyFill="1" applyBorder="1" applyAlignment="1">
      <alignment horizontal="right" vertical="center"/>
    </xf>
    <xf numFmtId="3" fontId="48" fillId="3" borderId="23" xfId="5" applyNumberFormat="1" applyFont="1" applyFill="1" applyBorder="1" applyAlignment="1">
      <alignment horizontal="right" vertical="center"/>
    </xf>
    <xf numFmtId="3" fontId="91" fillId="7" borderId="12" xfId="5" applyNumberFormat="1" applyFont="1" applyFill="1" applyBorder="1" applyAlignment="1">
      <alignment horizontal="right"/>
    </xf>
    <xf numFmtId="3" fontId="96" fillId="7" borderId="13" xfId="5" applyNumberFormat="1" applyFont="1" applyFill="1" applyBorder="1" applyAlignment="1">
      <alignment horizontal="right" vertical="center"/>
    </xf>
    <xf numFmtId="3" fontId="7" fillId="0" borderId="6" xfId="0" applyNumberFormat="1" applyFont="1" applyBorder="1" applyAlignment="1">
      <alignment horizontal="right"/>
    </xf>
    <xf numFmtId="3" fontId="48" fillId="0" borderId="10" xfId="5" applyNumberFormat="1" applyFont="1" applyBorder="1" applyAlignment="1">
      <alignment horizontal="right" vertical="center"/>
    </xf>
    <xf numFmtId="3" fontId="7" fillId="3" borderId="43" xfId="0" applyNumberFormat="1" applyFont="1" applyFill="1" applyBorder="1"/>
    <xf numFmtId="3" fontId="7" fillId="3" borderId="55" xfId="0" applyNumberFormat="1" applyFont="1" applyFill="1" applyBorder="1"/>
    <xf numFmtId="3" fontId="7" fillId="3" borderId="4" xfId="0" applyNumberFormat="1" applyFont="1" applyFill="1" applyBorder="1"/>
    <xf numFmtId="3" fontId="7" fillId="3" borderId="23" xfId="0" applyNumberFormat="1" applyFont="1" applyFill="1" applyBorder="1"/>
    <xf numFmtId="3" fontId="98" fillId="7" borderId="4" xfId="0" applyNumberFormat="1" applyFont="1" applyFill="1" applyBorder="1"/>
    <xf numFmtId="3" fontId="98" fillId="7" borderId="23" xfId="0" applyNumberFormat="1" applyFont="1" applyFill="1" applyBorder="1"/>
    <xf numFmtId="3" fontId="98" fillId="7" borderId="12" xfId="0" applyNumberFormat="1" applyFont="1" applyFill="1" applyBorder="1"/>
    <xf numFmtId="3" fontId="98" fillId="7" borderId="13" xfId="0" applyNumberFormat="1" applyFont="1" applyFill="1" applyBorder="1"/>
    <xf numFmtId="3" fontId="56" fillId="0" borderId="43" xfId="0" applyNumberFormat="1" applyFont="1" applyBorder="1" applyAlignment="1">
      <alignment horizontal="right" wrapText="1"/>
    </xf>
    <xf numFmtId="3" fontId="75" fillId="0" borderId="12" xfId="0" applyNumberFormat="1" applyFont="1" applyBorder="1" applyAlignment="1">
      <alignment horizontal="right" wrapText="1"/>
    </xf>
    <xf numFmtId="3" fontId="56" fillId="0" borderId="0" xfId="0" applyNumberFormat="1" applyFont="1" applyAlignment="1">
      <alignment horizontal="right"/>
    </xf>
    <xf numFmtId="3" fontId="56" fillId="0" borderId="36" xfId="0" applyNumberFormat="1" applyFont="1" applyBorder="1" applyAlignment="1">
      <alignment horizontal="right"/>
    </xf>
    <xf numFmtId="3" fontId="51" fillId="0" borderId="30" xfId="0" applyNumberFormat="1" applyFont="1" applyBorder="1" applyAlignment="1">
      <alignment horizontal="right"/>
    </xf>
    <xf numFmtId="3" fontId="53" fillId="0" borderId="30" xfId="0" applyNumberFormat="1" applyFont="1" applyBorder="1" applyAlignment="1">
      <alignment horizontal="left"/>
    </xf>
    <xf numFmtId="3" fontId="85" fillId="7" borderId="30" xfId="0" applyNumberFormat="1" applyFont="1" applyFill="1" applyBorder="1"/>
    <xf numFmtId="3" fontId="0" fillId="0" borderId="0" xfId="0" applyNumberFormat="1"/>
    <xf numFmtId="49" fontId="124" fillId="7" borderId="8" xfId="0" applyNumberFormat="1" applyFont="1" applyFill="1" applyBorder="1" applyAlignment="1">
      <alignment horizontal="center" vertical="center"/>
    </xf>
    <xf numFmtId="0" fontId="124" fillId="7" borderId="9" xfId="0" applyFont="1" applyFill="1" applyBorder="1" applyAlignment="1">
      <alignment wrapText="1"/>
    </xf>
    <xf numFmtId="166" fontId="125" fillId="7" borderId="9" xfId="5" applyNumberFormat="1" applyFont="1" applyFill="1" applyBorder="1" applyAlignment="1">
      <alignment horizontal="right"/>
    </xf>
    <xf numFmtId="166" fontId="125" fillId="7" borderId="10" xfId="5" applyNumberFormat="1" applyFont="1" applyFill="1" applyBorder="1" applyAlignment="1">
      <alignment horizontal="right"/>
    </xf>
    <xf numFmtId="166" fontId="124" fillId="7" borderId="76" xfId="5" applyNumberFormat="1" applyFont="1" applyFill="1" applyBorder="1" applyAlignment="1">
      <alignment horizontal="right" vertical="center"/>
    </xf>
    <xf numFmtId="0" fontId="126" fillId="7" borderId="44" xfId="0" applyFont="1" applyFill="1" applyBorder="1"/>
    <xf numFmtId="0" fontId="126" fillId="7" borderId="0" xfId="0" applyFont="1" applyFill="1"/>
    <xf numFmtId="49" fontId="125" fillId="7" borderId="11" xfId="0" applyNumberFormat="1" applyFont="1" applyFill="1" applyBorder="1" applyAlignment="1">
      <alignment horizontal="center" vertical="center"/>
    </xf>
    <xf numFmtId="0" fontId="125" fillId="7" borderId="12" xfId="0" applyFont="1" applyFill="1" applyBorder="1" applyAlignment="1">
      <alignment wrapText="1"/>
    </xf>
    <xf numFmtId="166" fontId="125" fillId="7" borderId="12" xfId="5" applyNumberFormat="1" applyFont="1" applyFill="1" applyBorder="1" applyAlignment="1">
      <alignment horizontal="right"/>
    </xf>
    <xf numFmtId="166" fontId="125" fillId="7" borderId="13" xfId="5" applyNumberFormat="1" applyFont="1" applyFill="1" applyBorder="1" applyAlignment="1">
      <alignment horizontal="right"/>
    </xf>
    <xf numFmtId="166" fontId="124" fillId="7" borderId="77" xfId="5" applyNumberFormat="1" applyFont="1" applyFill="1" applyBorder="1" applyAlignment="1">
      <alignment horizontal="right" vertical="center"/>
    </xf>
    <xf numFmtId="0" fontId="128" fillId="0" borderId="0" xfId="0" applyFont="1"/>
    <xf numFmtId="0" fontId="0" fillId="0" borderId="0" xfId="0" applyAlignment="1">
      <alignment horizontal="center"/>
    </xf>
    <xf numFmtId="0" fontId="0" fillId="0" borderId="22" xfId="0" applyBorder="1" applyAlignment="1">
      <alignment wrapText="1"/>
    </xf>
    <xf numFmtId="166" fontId="128" fillId="0" borderId="31" xfId="0" applyNumberFormat="1" applyFont="1" applyBorder="1" applyAlignment="1">
      <alignment horizontal="left"/>
    </xf>
    <xf numFmtId="166" fontId="128" fillId="0" borderId="30" xfId="0" applyNumberFormat="1" applyFont="1" applyBorder="1" applyAlignment="1">
      <alignment horizontal="left"/>
    </xf>
    <xf numFmtId="166" fontId="0" fillId="0" borderId="30" xfId="0" applyNumberFormat="1" applyBorder="1"/>
    <xf numFmtId="166" fontId="0" fillId="0" borderId="22" xfId="0" applyNumberFormat="1" applyBorder="1"/>
    <xf numFmtId="166" fontId="128" fillId="0" borderId="0" xfId="0" applyNumberFormat="1" applyFont="1" applyAlignment="1">
      <alignment horizontal="right"/>
    </xf>
    <xf numFmtId="165" fontId="128" fillId="0" borderId="0" xfId="1" applyNumberFormat="1" applyFont="1"/>
    <xf numFmtId="166" fontId="128" fillId="0" borderId="0" xfId="0" applyNumberFormat="1" applyFont="1"/>
    <xf numFmtId="166" fontId="128" fillId="0" borderId="8" xfId="0" applyNumberFormat="1" applyFont="1" applyBorder="1" applyAlignment="1">
      <alignment horizontal="left"/>
    </xf>
    <xf numFmtId="166" fontId="128" fillId="0" borderId="9" xfId="0" applyNumberFormat="1" applyFont="1" applyBorder="1" applyAlignment="1">
      <alignment horizontal="left"/>
    </xf>
    <xf numFmtId="166" fontId="128" fillId="0" borderId="79" xfId="0" applyNumberFormat="1" applyFont="1" applyBorder="1" applyAlignment="1">
      <alignment horizontal="left"/>
    </xf>
    <xf numFmtId="166" fontId="128" fillId="0" borderId="10" xfId="0" applyNumberFormat="1" applyFont="1" applyBorder="1" applyAlignment="1">
      <alignment horizontal="left"/>
    </xf>
    <xf numFmtId="166" fontId="128" fillId="0" borderId="0" xfId="0" applyNumberFormat="1" applyFont="1" applyAlignment="1">
      <alignment horizontal="left"/>
    </xf>
    <xf numFmtId="166" fontId="128" fillId="0" borderId="44" xfId="0" applyNumberFormat="1" applyFont="1" applyBorder="1" applyAlignment="1">
      <alignment horizontal="left"/>
    </xf>
    <xf numFmtId="166" fontId="0" fillId="0" borderId="5" xfId="0" applyNumberFormat="1" applyBorder="1" applyAlignment="1">
      <alignment horizontal="left"/>
    </xf>
    <xf numFmtId="166" fontId="0" fillId="0" borderId="60" xfId="0" applyNumberFormat="1" applyBorder="1" applyAlignment="1">
      <alignment horizontal="right"/>
    </xf>
    <xf numFmtId="166" fontId="0" fillId="0" borderId="15" xfId="0" applyNumberFormat="1" applyBorder="1" applyAlignment="1">
      <alignment horizontal="right"/>
    </xf>
    <xf numFmtId="166" fontId="0" fillId="0" borderId="0" xfId="0" applyNumberFormat="1" applyAlignment="1">
      <alignment horizontal="right"/>
    </xf>
    <xf numFmtId="10" fontId="128" fillId="0" borderId="0" xfId="1" applyNumberFormat="1" applyFont="1"/>
    <xf numFmtId="166" fontId="0" fillId="0" borderId="5" xfId="0" applyNumberFormat="1" applyBorder="1"/>
    <xf numFmtId="166" fontId="0" fillId="0" borderId="60" xfId="0" applyNumberFormat="1" applyBorder="1"/>
    <xf numFmtId="166" fontId="0" fillId="0" borderId="15" xfId="0" applyNumberFormat="1" applyBorder="1"/>
    <xf numFmtId="166" fontId="0" fillId="0" borderId="4" xfId="0" applyNumberFormat="1" applyBorder="1"/>
    <xf numFmtId="166" fontId="0" fillId="0" borderId="62" xfId="0" applyNumberFormat="1" applyBorder="1"/>
    <xf numFmtId="166" fontId="0" fillId="0" borderId="23" xfId="0" applyNumberFormat="1" applyBorder="1"/>
    <xf numFmtId="166" fontId="0" fillId="0" borderId="6" xfId="0" applyNumberFormat="1" applyBorder="1"/>
    <xf numFmtId="166" fontId="0" fillId="0" borderId="7" xfId="0" applyNumberFormat="1" applyBorder="1"/>
    <xf numFmtId="166" fontId="0" fillId="0" borderId="53" xfId="0" applyNumberFormat="1" applyBorder="1"/>
    <xf numFmtId="166" fontId="0" fillId="0" borderId="13" xfId="0" applyNumberFormat="1" applyBorder="1"/>
    <xf numFmtId="166" fontId="128" fillId="0" borderId="33" xfId="0" applyNumberFormat="1" applyFont="1" applyBorder="1"/>
    <xf numFmtId="166" fontId="0" fillId="0" borderId="34" xfId="0" applyNumberFormat="1" applyBorder="1"/>
    <xf numFmtId="166" fontId="128" fillId="0" borderId="34" xfId="0" applyNumberFormat="1" applyFont="1" applyBorder="1" applyAlignment="1">
      <alignment horizontal="left"/>
    </xf>
    <xf numFmtId="166" fontId="0" fillId="0" borderId="43" xfId="0" applyNumberFormat="1" applyBorder="1"/>
    <xf numFmtId="166" fontId="0" fillId="0" borderId="61" xfId="0" applyNumberFormat="1" applyBorder="1"/>
    <xf numFmtId="166" fontId="0" fillId="0" borderId="19" xfId="0" applyNumberFormat="1" applyBorder="1"/>
    <xf numFmtId="166" fontId="0" fillId="0" borderId="14" xfId="0" applyNumberFormat="1" applyBorder="1"/>
    <xf numFmtId="166" fontId="0" fillId="0" borderId="17" xfId="0" applyNumberFormat="1" applyBorder="1"/>
    <xf numFmtId="166" fontId="0" fillId="0" borderId="64" xfId="0" applyNumberFormat="1" applyBorder="1"/>
    <xf numFmtId="166" fontId="128" fillId="0" borderId="22" xfId="0" applyNumberFormat="1" applyFont="1" applyBorder="1" applyAlignment="1">
      <alignment horizontal="left"/>
    </xf>
    <xf numFmtId="166" fontId="128" fillId="0" borderId="44" xfId="0" applyNumberFormat="1" applyFont="1" applyBorder="1"/>
    <xf numFmtId="166" fontId="0" fillId="0" borderId="8" xfId="0" applyNumberFormat="1" applyBorder="1"/>
    <xf numFmtId="166" fontId="0" fillId="0" borderId="79" xfId="0" applyNumberFormat="1" applyBorder="1"/>
    <xf numFmtId="166" fontId="0" fillId="0" borderId="10" xfId="0" applyNumberFormat="1" applyBorder="1"/>
    <xf numFmtId="166" fontId="0" fillId="0" borderId="16" xfId="0" applyNumberFormat="1" applyBorder="1"/>
    <xf numFmtId="166" fontId="0" fillId="0" borderId="16" xfId="0" applyNumberFormat="1" applyBorder="1" applyAlignment="1">
      <alignment wrapText="1"/>
    </xf>
    <xf numFmtId="0" fontId="0" fillId="0" borderId="44" xfId="0" applyBorder="1" applyAlignment="1">
      <alignment horizontal="left" wrapText="1"/>
    </xf>
    <xf numFmtId="166" fontId="0" fillId="0" borderId="55" xfId="0" applyNumberFormat="1" applyBorder="1"/>
    <xf numFmtId="0" fontId="0" fillId="0" borderId="16" xfId="0" applyBorder="1" applyAlignment="1">
      <alignment horizontal="left" wrapText="1"/>
    </xf>
    <xf numFmtId="166" fontId="0" fillId="0" borderId="11" xfId="0" applyNumberFormat="1" applyBorder="1" applyAlignment="1">
      <alignment wrapText="1"/>
    </xf>
    <xf numFmtId="166" fontId="128" fillId="0" borderId="31" xfId="0" applyNumberFormat="1" applyFont="1" applyBorder="1"/>
    <xf numFmtId="166" fontId="0" fillId="0" borderId="4" xfId="0" applyNumberFormat="1" applyBorder="1" applyAlignment="1">
      <alignment wrapText="1"/>
    </xf>
    <xf numFmtId="166" fontId="128" fillId="0" borderId="48" xfId="0" applyNumberFormat="1" applyFont="1" applyBorder="1"/>
    <xf numFmtId="166" fontId="0" fillId="0" borderId="12" xfId="0" applyNumberFormat="1" applyBorder="1" applyAlignment="1">
      <alignment wrapText="1"/>
    </xf>
    <xf numFmtId="166" fontId="128" fillId="0" borderId="70" xfId="0" applyNumberFormat="1" applyFont="1" applyBorder="1" applyAlignment="1">
      <alignment horizontal="left"/>
    </xf>
    <xf numFmtId="166" fontId="0" fillId="0" borderId="8" xfId="0" applyNumberFormat="1" applyBorder="1" applyAlignment="1">
      <alignment wrapText="1"/>
    </xf>
    <xf numFmtId="166" fontId="128" fillId="0" borderId="20" xfId="0" applyNumberFormat="1" applyFont="1" applyBorder="1"/>
    <xf numFmtId="166" fontId="0" fillId="0" borderId="54" xfId="0" applyNumberFormat="1" applyBorder="1" applyAlignment="1">
      <alignment wrapText="1"/>
    </xf>
    <xf numFmtId="166" fontId="0" fillId="0" borderId="40" xfId="0" applyNumberFormat="1" applyBorder="1"/>
    <xf numFmtId="166" fontId="0" fillId="0" borderId="36" xfId="0" applyNumberFormat="1" applyBorder="1" applyAlignment="1">
      <alignment wrapText="1"/>
    </xf>
    <xf numFmtId="166" fontId="128" fillId="0" borderId="36" xfId="0" applyNumberFormat="1" applyFont="1" applyBorder="1" applyAlignment="1">
      <alignment horizontal="left"/>
    </xf>
    <xf numFmtId="166" fontId="0" fillId="0" borderId="63" xfId="0" applyNumberFormat="1" applyBorder="1" applyAlignment="1">
      <alignment wrapText="1"/>
    </xf>
    <xf numFmtId="166" fontId="0" fillId="0" borderId="29" xfId="0" applyNumberFormat="1" applyBorder="1" applyAlignment="1">
      <alignment wrapText="1"/>
    </xf>
    <xf numFmtId="166" fontId="0" fillId="0" borderId="65" xfId="0" applyNumberFormat="1" applyBorder="1" applyAlignment="1">
      <alignment wrapText="1"/>
    </xf>
    <xf numFmtId="166" fontId="127" fillId="0" borderId="31" xfId="0" applyNumberFormat="1" applyFont="1" applyBorder="1"/>
    <xf numFmtId="166" fontId="127" fillId="0" borderId="30" xfId="0" applyNumberFormat="1" applyFont="1" applyBorder="1"/>
    <xf numFmtId="166" fontId="127" fillId="0" borderId="22" xfId="0" applyNumberFormat="1" applyFont="1" applyBorder="1"/>
    <xf numFmtId="166" fontId="127" fillId="0" borderId="0" xfId="0" applyNumberFormat="1" applyFont="1"/>
    <xf numFmtId="10" fontId="127" fillId="0" borderId="0" xfId="0" applyNumberFormat="1" applyFont="1"/>
    <xf numFmtId="165" fontId="128" fillId="0" borderId="0" xfId="0" applyNumberFormat="1" applyFont="1"/>
    <xf numFmtId="0" fontId="126" fillId="0" borderId="44" xfId="0" applyFont="1" applyBorder="1"/>
    <xf numFmtId="0" fontId="126" fillId="0" borderId="0" xfId="0" applyFont="1"/>
    <xf numFmtId="49" fontId="129" fillId="0" borderId="44" xfId="0" applyNumberFormat="1" applyFont="1" applyBorder="1"/>
    <xf numFmtId="0" fontId="129" fillId="0" borderId="0" xfId="0" applyFont="1"/>
    <xf numFmtId="49" fontId="126" fillId="0" borderId="44" xfId="0" applyNumberFormat="1" applyFont="1" applyBorder="1"/>
    <xf numFmtId="49" fontId="126" fillId="0" borderId="44" xfId="0" applyNumberFormat="1" applyFont="1" applyBorder="1" applyAlignment="1">
      <alignment wrapText="1"/>
    </xf>
    <xf numFmtId="0" fontId="126" fillId="0" borderId="0" xfId="0" applyFont="1" applyAlignment="1">
      <alignment wrapText="1"/>
    </xf>
    <xf numFmtId="49" fontId="124" fillId="0" borderId="18" xfId="0" applyNumberFormat="1" applyFont="1" applyBorder="1" applyAlignment="1">
      <alignment horizontal="center" wrapText="1"/>
    </xf>
    <xf numFmtId="0" fontId="124" fillId="0" borderId="26" xfId="0" applyFont="1" applyBorder="1" applyAlignment="1">
      <alignment horizontal="center" wrapText="1"/>
    </xf>
    <xf numFmtId="164" fontId="124" fillId="0" borderId="26" xfId="5" applyNumberFormat="1" applyFont="1" applyBorder="1" applyAlignment="1">
      <alignment horizontal="center" wrapText="1"/>
    </xf>
    <xf numFmtId="164" fontId="124" fillId="0" borderId="21" xfId="5" applyNumberFormat="1" applyFont="1" applyBorder="1" applyAlignment="1">
      <alignment horizontal="center" wrapText="1"/>
    </xf>
    <xf numFmtId="164" fontId="124" fillId="0" borderId="72" xfId="5" applyNumberFormat="1" applyFont="1" applyBorder="1" applyAlignment="1">
      <alignment horizontal="center"/>
    </xf>
    <xf numFmtId="49" fontId="124" fillId="0" borderId="14" xfId="0" applyNumberFormat="1" applyFont="1" applyBorder="1" applyAlignment="1">
      <alignment horizontal="left" wrapText="1"/>
    </xf>
    <xf numFmtId="0" fontId="124" fillId="0" borderId="5" xfId="0" applyFont="1" applyBorder="1"/>
    <xf numFmtId="166" fontId="125" fillId="0" borderId="5" xfId="5" applyNumberFormat="1" applyFont="1" applyBorder="1" applyAlignment="1">
      <alignment horizontal="right"/>
    </xf>
    <xf numFmtId="166" fontId="125" fillId="0" borderId="15" xfId="5" applyNumberFormat="1" applyFont="1" applyBorder="1" applyAlignment="1">
      <alignment horizontal="right"/>
    </xf>
    <xf numFmtId="166" fontId="124" fillId="0" borderId="27" xfId="5" applyNumberFormat="1" applyFont="1" applyBorder="1" applyAlignment="1">
      <alignment horizontal="right" vertical="center"/>
    </xf>
    <xf numFmtId="49" fontId="125" fillId="0" borderId="11" xfId="0" applyNumberFormat="1" applyFont="1" applyBorder="1" applyAlignment="1">
      <alignment horizontal="left" wrapText="1"/>
    </xf>
    <xf numFmtId="0" fontId="125" fillId="0" borderId="12" xfId="0" applyFont="1" applyBorder="1"/>
    <xf numFmtId="166" fontId="125" fillId="0" borderId="12" xfId="5" applyNumberFormat="1" applyFont="1" applyBorder="1" applyAlignment="1">
      <alignment horizontal="right"/>
    </xf>
    <xf numFmtId="166" fontId="125" fillId="0" borderId="13" xfId="5" applyNumberFormat="1" applyFont="1" applyBorder="1" applyAlignment="1">
      <alignment horizontal="right"/>
    </xf>
    <xf numFmtId="166" fontId="124" fillId="0" borderId="77" xfId="5" applyNumberFormat="1" applyFont="1" applyBorder="1" applyAlignment="1">
      <alignment horizontal="right" vertical="center"/>
    </xf>
    <xf numFmtId="166" fontId="125" fillId="0" borderId="43" xfId="5" applyNumberFormat="1" applyFont="1" applyBorder="1" applyAlignment="1">
      <alignment horizontal="right"/>
    </xf>
    <xf numFmtId="166" fontId="125" fillId="0" borderId="55" xfId="5" applyNumberFormat="1" applyFont="1" applyBorder="1" applyAlignment="1">
      <alignment horizontal="right"/>
    </xf>
    <xf numFmtId="166" fontId="124" fillId="0" borderId="49" xfId="5" applyNumberFormat="1" applyFont="1" applyBorder="1" applyAlignment="1">
      <alignment horizontal="right" vertical="center"/>
    </xf>
    <xf numFmtId="0" fontId="126" fillId="0" borderId="80" xfId="0" applyFont="1" applyBorder="1"/>
    <xf numFmtId="49" fontId="125" fillId="7" borderId="18" xfId="0" applyNumberFormat="1" applyFont="1" applyFill="1" applyBorder="1" applyAlignment="1">
      <alignment horizontal="center" vertical="center"/>
    </xf>
    <xf numFmtId="0" fontId="125" fillId="7" borderId="26" xfId="0" applyFont="1" applyFill="1" applyBorder="1" applyAlignment="1">
      <alignment wrapText="1"/>
    </xf>
    <xf numFmtId="166" fontId="125" fillId="7" borderId="26" xfId="5" applyNumberFormat="1" applyFont="1" applyFill="1" applyBorder="1" applyAlignment="1">
      <alignment horizontal="right"/>
    </xf>
    <xf numFmtId="166" fontId="125" fillId="7" borderId="22" xfId="5" applyNumberFormat="1" applyFont="1" applyFill="1" applyBorder="1" applyAlignment="1">
      <alignment horizontal="right"/>
    </xf>
    <xf numFmtId="166" fontId="124" fillId="7" borderId="31" xfId="5" applyNumberFormat="1" applyFont="1" applyFill="1" applyBorder="1" applyAlignment="1">
      <alignment horizontal="right" vertical="center"/>
    </xf>
    <xf numFmtId="0" fontId="126" fillId="7" borderId="30" xfId="0" applyFont="1" applyFill="1" applyBorder="1"/>
    <xf numFmtId="49" fontId="124" fillId="0" borderId="14" xfId="0" applyNumberFormat="1" applyFont="1" applyBorder="1" applyAlignment="1">
      <alignment horizontal="center" vertical="center"/>
    </xf>
    <xf numFmtId="0" fontId="124" fillId="0" borderId="5" xfId="0" applyFont="1" applyBorder="1" applyAlignment="1">
      <alignment wrapText="1"/>
    </xf>
    <xf numFmtId="49" fontId="125" fillId="0" borderId="11" xfId="0" applyNumberFormat="1" applyFont="1" applyBorder="1" applyAlignment="1">
      <alignment horizontal="center" vertical="center"/>
    </xf>
    <xf numFmtId="0" fontId="125" fillId="0" borderId="12" xfId="0" applyFont="1" applyBorder="1" applyAlignment="1">
      <alignment wrapText="1"/>
    </xf>
    <xf numFmtId="49" fontId="124" fillId="0" borderId="14" xfId="0" applyNumberFormat="1" applyFont="1" applyBorder="1" applyAlignment="1">
      <alignment horizontal="center" wrapText="1"/>
    </xf>
    <xf numFmtId="49" fontId="125" fillId="0" borderId="11" xfId="0" applyNumberFormat="1" applyFont="1" applyBorder="1" applyAlignment="1">
      <alignment horizontal="center" wrapText="1"/>
    </xf>
    <xf numFmtId="49" fontId="125" fillId="7" borderId="18" xfId="0" applyNumberFormat="1" applyFont="1" applyFill="1" applyBorder="1" applyAlignment="1">
      <alignment horizontal="center" wrapText="1"/>
    </xf>
    <xf numFmtId="49" fontId="125" fillId="0" borderId="17" xfId="0" applyNumberFormat="1" applyFont="1" applyBorder="1" applyAlignment="1">
      <alignment horizontal="center" wrapText="1"/>
    </xf>
    <xf numFmtId="0" fontId="125" fillId="0" borderId="52" xfId="0" applyFont="1" applyBorder="1" applyAlignment="1">
      <alignment wrapText="1"/>
    </xf>
    <xf numFmtId="166" fontId="125" fillId="0" borderId="6" xfId="5" applyNumberFormat="1" applyFont="1" applyBorder="1" applyAlignment="1">
      <alignment horizontal="right"/>
    </xf>
    <xf numFmtId="166" fontId="125" fillId="0" borderId="53" xfId="5" applyNumberFormat="1" applyFont="1" applyBorder="1" applyAlignment="1">
      <alignment horizontal="right"/>
    </xf>
    <xf numFmtId="166" fontId="124" fillId="0" borderId="48" xfId="5" applyNumberFormat="1" applyFont="1" applyBorder="1" applyAlignment="1">
      <alignment horizontal="right" vertical="center"/>
    </xf>
    <xf numFmtId="49" fontId="125" fillId="0" borderId="17" xfId="0" applyNumberFormat="1" applyFont="1" applyBorder="1" applyAlignment="1">
      <alignment horizontal="center" vertical="center"/>
    </xf>
    <xf numFmtId="166" fontId="125" fillId="0" borderId="52" xfId="5" applyNumberFormat="1" applyFont="1" applyBorder="1" applyAlignment="1">
      <alignment horizontal="right"/>
    </xf>
    <xf numFmtId="166" fontId="125" fillId="0" borderId="40" xfId="5" applyNumberFormat="1" applyFont="1" applyBorder="1" applyAlignment="1">
      <alignment horizontal="right"/>
    </xf>
    <xf numFmtId="166" fontId="125" fillId="0" borderId="5" xfId="5" applyNumberFormat="1" applyFont="1" applyBorder="1" applyAlignment="1">
      <alignment horizontal="right" vertical="center" wrapText="1"/>
    </xf>
    <xf numFmtId="166" fontId="124" fillId="0" borderId="5" xfId="5" applyNumberFormat="1" applyFont="1" applyBorder="1" applyAlignment="1">
      <alignment horizontal="right" vertical="center" wrapText="1"/>
    </xf>
    <xf numFmtId="166" fontId="124" fillId="0" borderId="15" xfId="5" applyNumberFormat="1" applyFont="1" applyBorder="1" applyAlignment="1">
      <alignment horizontal="right" vertical="center" wrapText="1"/>
    </xf>
    <xf numFmtId="166" fontId="125" fillId="0" borderId="12" xfId="5" applyNumberFormat="1" applyFont="1" applyBorder="1" applyAlignment="1">
      <alignment horizontal="center" vertical="center" wrapText="1"/>
    </xf>
    <xf numFmtId="166" fontId="124" fillId="0" borderId="12" xfId="5" applyNumberFormat="1" applyFont="1" applyBorder="1" applyAlignment="1">
      <alignment horizontal="right" vertical="center" wrapText="1"/>
    </xf>
    <xf numFmtId="166" fontId="124" fillId="0" borderId="13" xfId="5" applyNumberFormat="1" applyFont="1" applyBorder="1" applyAlignment="1">
      <alignment horizontal="right" vertical="center" wrapText="1"/>
    </xf>
    <xf numFmtId="166" fontId="125" fillId="0" borderId="52" xfId="5" applyNumberFormat="1" applyFont="1" applyBorder="1" applyAlignment="1">
      <alignment horizontal="center" vertical="center" wrapText="1"/>
    </xf>
    <xf numFmtId="166" fontId="124" fillId="0" borderId="52" xfId="5" applyNumberFormat="1" applyFont="1" applyBorder="1" applyAlignment="1">
      <alignment horizontal="right" vertical="center" wrapText="1"/>
    </xf>
    <xf numFmtId="166" fontId="124" fillId="0" borderId="40" xfId="5" applyNumberFormat="1" applyFont="1" applyBorder="1" applyAlignment="1">
      <alignment horizontal="right" vertical="center" wrapText="1"/>
    </xf>
    <xf numFmtId="166" fontId="125" fillId="7" borderId="26" xfId="5" applyNumberFormat="1" applyFont="1" applyFill="1" applyBorder="1" applyAlignment="1">
      <alignment horizontal="center" vertical="center" wrapText="1"/>
    </xf>
    <xf numFmtId="166" fontId="124" fillId="7" borderId="26" xfId="5" applyNumberFormat="1" applyFont="1" applyFill="1" applyBorder="1" applyAlignment="1">
      <alignment horizontal="right" vertical="center" wrapText="1"/>
    </xf>
    <xf numFmtId="166" fontId="125" fillId="7" borderId="26" xfId="5" applyNumberFormat="1" applyFont="1" applyFill="1" applyBorder="1" applyAlignment="1">
      <alignment horizontal="right" vertical="center" wrapText="1"/>
    </xf>
    <xf numFmtId="166" fontId="124" fillId="7" borderId="22" xfId="5" applyNumberFormat="1" applyFont="1" applyFill="1" applyBorder="1" applyAlignment="1">
      <alignment horizontal="right" vertical="center" wrapText="1"/>
    </xf>
    <xf numFmtId="166" fontId="125" fillId="0" borderId="5" xfId="5" applyNumberFormat="1" applyFont="1" applyBorder="1" applyAlignment="1">
      <alignment horizontal="center" vertical="center" wrapText="1"/>
    </xf>
    <xf numFmtId="166" fontId="125" fillId="0" borderId="52" xfId="5" applyNumberFormat="1" applyFont="1" applyBorder="1" applyAlignment="1">
      <alignment horizontal="right" vertical="center" wrapText="1"/>
    </xf>
    <xf numFmtId="166" fontId="124" fillId="0" borderId="78" xfId="5" applyNumberFormat="1" applyFont="1" applyBorder="1" applyAlignment="1">
      <alignment horizontal="right" vertical="center"/>
    </xf>
    <xf numFmtId="49" fontId="125" fillId="7" borderId="18" xfId="0" applyNumberFormat="1" applyFont="1" applyFill="1" applyBorder="1" applyAlignment="1">
      <alignment horizontal="center"/>
    </xf>
    <xf numFmtId="49" fontId="124" fillId="0" borderId="14" xfId="0" applyNumberFormat="1" applyFont="1" applyBorder="1" applyAlignment="1">
      <alignment horizontal="center"/>
    </xf>
    <xf numFmtId="49" fontId="125" fillId="0" borderId="54" xfId="0" applyNumberFormat="1" applyFont="1" applyBorder="1" applyAlignment="1">
      <alignment horizontal="center"/>
    </xf>
    <xf numFmtId="0" fontId="125" fillId="0" borderId="43" xfId="0" applyFont="1" applyBorder="1" applyAlignment="1">
      <alignment wrapText="1"/>
    </xf>
    <xf numFmtId="49" fontId="125" fillId="0" borderId="11" xfId="0" applyNumberFormat="1" applyFont="1" applyBorder="1" applyAlignment="1">
      <alignment horizontal="center"/>
    </xf>
    <xf numFmtId="49" fontId="124" fillId="7" borderId="8" xfId="0" applyNumberFormat="1" applyFont="1" applyFill="1" applyBorder="1" applyAlignment="1">
      <alignment horizontal="center"/>
    </xf>
    <xf numFmtId="166" fontId="125" fillId="7" borderId="79" xfId="5" applyNumberFormat="1" applyFont="1" applyFill="1" applyBorder="1" applyAlignment="1">
      <alignment horizontal="right"/>
    </xf>
    <xf numFmtId="49" fontId="125" fillId="7" borderId="16" xfId="0" applyNumberFormat="1" applyFont="1" applyFill="1" applyBorder="1" applyAlignment="1">
      <alignment horizontal="center"/>
    </xf>
    <xf numFmtId="0" fontId="125" fillId="7" borderId="4" xfId="0" applyFont="1" applyFill="1" applyBorder="1" applyAlignment="1">
      <alignment wrapText="1"/>
    </xf>
    <xf numFmtId="166" fontId="125" fillId="7" borderId="4" xfId="5" applyNumberFormat="1" applyFont="1" applyFill="1" applyBorder="1" applyAlignment="1">
      <alignment horizontal="right"/>
    </xf>
    <xf numFmtId="166" fontId="125" fillId="7" borderId="62" xfId="5" applyNumberFormat="1" applyFont="1" applyFill="1" applyBorder="1" applyAlignment="1">
      <alignment horizontal="right"/>
    </xf>
    <xf numFmtId="166" fontId="124" fillId="7" borderId="41" xfId="5" applyNumberFormat="1" applyFont="1" applyFill="1" applyBorder="1" applyAlignment="1">
      <alignment horizontal="right" vertical="center"/>
    </xf>
    <xf numFmtId="49" fontId="125" fillId="7" borderId="54" xfId="0" applyNumberFormat="1" applyFont="1" applyFill="1" applyBorder="1" applyAlignment="1">
      <alignment horizontal="center"/>
    </xf>
    <xf numFmtId="0" fontId="125" fillId="7" borderId="43" xfId="0" applyFont="1" applyFill="1" applyBorder="1" applyAlignment="1">
      <alignment wrapText="1"/>
    </xf>
    <xf numFmtId="166" fontId="125" fillId="7" borderId="43" xfId="5" applyNumberFormat="1" applyFont="1" applyFill="1" applyBorder="1" applyAlignment="1">
      <alignment horizontal="right"/>
    </xf>
    <xf numFmtId="166" fontId="125" fillId="7" borderId="61" xfId="5" applyNumberFormat="1" applyFont="1" applyFill="1" applyBorder="1" applyAlignment="1">
      <alignment horizontal="right"/>
    </xf>
    <xf numFmtId="166" fontId="124" fillId="7" borderId="71" xfId="5" applyNumberFormat="1" applyFont="1" applyFill="1" applyBorder="1" applyAlignment="1">
      <alignment horizontal="right" vertical="center"/>
    </xf>
    <xf numFmtId="166" fontId="125" fillId="7" borderId="21" xfId="5" applyNumberFormat="1" applyFont="1" applyFill="1" applyBorder="1" applyAlignment="1">
      <alignment horizontal="right"/>
    </xf>
    <xf numFmtId="166" fontId="124" fillId="7" borderId="72" xfId="5" applyNumberFormat="1" applyFont="1" applyFill="1" applyBorder="1" applyAlignment="1">
      <alignment horizontal="right" vertical="center"/>
    </xf>
    <xf numFmtId="166" fontId="130" fillId="7" borderId="9" xfId="5" applyNumberFormat="1" applyFont="1" applyFill="1" applyBorder="1" applyAlignment="1">
      <alignment horizontal="right"/>
    </xf>
    <xf numFmtId="166" fontId="130" fillId="7" borderId="79" xfId="5" applyNumberFormat="1" applyFont="1" applyFill="1" applyBorder="1" applyAlignment="1">
      <alignment horizontal="right"/>
    </xf>
    <xf numFmtId="166" fontId="131" fillId="7" borderId="76" xfId="5" applyNumberFormat="1" applyFont="1" applyFill="1" applyBorder="1" applyAlignment="1">
      <alignment horizontal="right" vertical="center"/>
    </xf>
    <xf numFmtId="0" fontId="132" fillId="7" borderId="44" xfId="0" applyFont="1" applyFill="1" applyBorder="1"/>
    <xf numFmtId="0" fontId="132" fillId="7" borderId="0" xfId="0" applyFont="1" applyFill="1"/>
    <xf numFmtId="49" fontId="130" fillId="7" borderId="11" xfId="0" applyNumberFormat="1" applyFont="1" applyFill="1" applyBorder="1" applyAlignment="1">
      <alignment horizontal="center"/>
    </xf>
    <xf numFmtId="166" fontId="125" fillId="7" borderId="56" xfId="5" applyNumberFormat="1" applyFont="1" applyFill="1" applyBorder="1" applyAlignment="1">
      <alignment horizontal="right"/>
    </xf>
    <xf numFmtId="49" fontId="130" fillId="7" borderId="19" xfId="0" applyNumberFormat="1" applyFont="1" applyFill="1" applyBorder="1" applyAlignment="1">
      <alignment horizontal="center"/>
    </xf>
    <xf numFmtId="0" fontId="125" fillId="7" borderId="6" xfId="0" applyFont="1" applyFill="1" applyBorder="1" applyAlignment="1">
      <alignment wrapText="1"/>
    </xf>
    <xf numFmtId="166" fontId="125" fillId="7" borderId="6" xfId="5" applyNumberFormat="1" applyFont="1" applyFill="1" applyBorder="1" applyAlignment="1">
      <alignment horizontal="right"/>
    </xf>
    <xf numFmtId="166" fontId="125" fillId="7" borderId="7" xfId="5" applyNumberFormat="1" applyFont="1" applyFill="1" applyBorder="1" applyAlignment="1">
      <alignment horizontal="right"/>
    </xf>
    <xf numFmtId="166" fontId="124" fillId="7" borderId="73" xfId="5" applyNumberFormat="1" applyFont="1" applyFill="1" applyBorder="1" applyAlignment="1">
      <alignment horizontal="right" vertical="center"/>
    </xf>
    <xf numFmtId="49" fontId="124" fillId="0" borderId="8" xfId="0" applyNumberFormat="1" applyFont="1" applyBorder="1" applyAlignment="1">
      <alignment wrapText="1"/>
    </xf>
    <xf numFmtId="0" fontId="124" fillId="0" borderId="9" xfId="0" applyFont="1" applyBorder="1" applyAlignment="1">
      <alignment wrapText="1"/>
    </xf>
    <xf numFmtId="166" fontId="124" fillId="0" borderId="6" xfId="0" applyNumberFormat="1" applyFont="1" applyBorder="1" applyAlignment="1">
      <alignment horizontal="right"/>
    </xf>
    <xf numFmtId="166" fontId="124" fillId="0" borderId="7" xfId="0" applyNumberFormat="1" applyFont="1" applyBorder="1" applyAlignment="1">
      <alignment horizontal="right"/>
    </xf>
    <xf numFmtId="0" fontId="125" fillId="0" borderId="44" xfId="0" applyFont="1" applyBorder="1"/>
    <xf numFmtId="164" fontId="125" fillId="0" borderId="0" xfId="0" applyNumberFormat="1" applyFont="1"/>
    <xf numFmtId="0" fontId="125" fillId="0" borderId="0" xfId="0" applyFont="1"/>
    <xf numFmtId="49" fontId="126" fillId="0" borderId="43" xfId="0" applyNumberFormat="1" applyFont="1" applyBorder="1"/>
    <xf numFmtId="0" fontId="124" fillId="0" borderId="43" xfId="0" applyFont="1" applyBorder="1" applyAlignment="1">
      <alignment wrapText="1"/>
    </xf>
    <xf numFmtId="166" fontId="133" fillId="0" borderId="43" xfId="0" applyNumberFormat="1" applyFont="1" applyBorder="1"/>
    <xf numFmtId="166" fontId="133" fillId="0" borderId="61" xfId="0" applyNumberFormat="1" applyFont="1" applyBorder="1"/>
    <xf numFmtId="166" fontId="133" fillId="0" borderId="41" xfId="0" applyNumberFormat="1" applyFont="1" applyBorder="1"/>
    <xf numFmtId="166" fontId="126" fillId="0" borderId="0" xfId="0" applyNumberFormat="1" applyFont="1"/>
    <xf numFmtId="49" fontId="134" fillId="0" borderId="12" xfId="0" applyNumberFormat="1" applyFont="1" applyBorder="1" applyAlignment="1">
      <alignment horizontal="center" vertical="top"/>
    </xf>
    <xf numFmtId="0" fontId="124" fillId="0" borderId="12" xfId="0" applyFont="1" applyBorder="1" applyAlignment="1">
      <alignment wrapText="1"/>
    </xf>
    <xf numFmtId="166" fontId="133" fillId="0" borderId="12" xfId="0" applyNumberFormat="1" applyFont="1" applyBorder="1"/>
    <xf numFmtId="166" fontId="133" fillId="0" borderId="56" xfId="0" applyNumberFormat="1" applyFont="1" applyBorder="1"/>
    <xf numFmtId="166" fontId="133" fillId="0" borderId="78" xfId="0" applyNumberFormat="1" applyFont="1" applyBorder="1"/>
    <xf numFmtId="49" fontId="134" fillId="7" borderId="34" xfId="0" applyNumberFormat="1" applyFont="1" applyFill="1" applyBorder="1" applyAlignment="1">
      <alignment horizontal="center" vertical="top"/>
    </xf>
    <xf numFmtId="0" fontId="124" fillId="7" borderId="34" xfId="0" applyFont="1" applyFill="1" applyBorder="1" applyAlignment="1">
      <alignment wrapText="1"/>
    </xf>
    <xf numFmtId="166" fontId="133" fillId="7" borderId="34" xfId="0" applyNumberFormat="1" applyFont="1" applyFill="1" applyBorder="1"/>
    <xf numFmtId="166" fontId="126" fillId="7" borderId="0" xfId="0" applyNumberFormat="1" applyFont="1" applyFill="1"/>
    <xf numFmtId="0" fontId="126" fillId="7" borderId="34" xfId="0" applyFont="1" applyFill="1" applyBorder="1"/>
    <xf numFmtId="49" fontId="126" fillId="7" borderId="0" xfId="0" applyNumberFormat="1" applyFont="1" applyFill="1"/>
    <xf numFmtId="0" fontId="124" fillId="7" borderId="0" xfId="0" applyFont="1" applyFill="1" applyAlignment="1">
      <alignment wrapText="1"/>
    </xf>
    <xf numFmtId="10" fontId="133" fillId="7" borderId="0" xfId="0" applyNumberFormat="1" applyFont="1" applyFill="1"/>
    <xf numFmtId="49" fontId="126" fillId="0" borderId="0" xfId="0" applyNumberFormat="1" applyFont="1"/>
    <xf numFmtId="165" fontId="126" fillId="0" borderId="0" xfId="0" applyNumberFormat="1" applyFont="1" applyAlignment="1">
      <alignment horizontal="left"/>
    </xf>
    <xf numFmtId="165" fontId="126" fillId="0" borderId="0" xfId="0" applyNumberFormat="1" applyFont="1"/>
    <xf numFmtId="49" fontId="133" fillId="0" borderId="0" xfId="0" applyNumberFormat="1" applyFont="1" applyAlignment="1">
      <alignment wrapText="1"/>
    </xf>
    <xf numFmtId="165" fontId="133" fillId="0" borderId="0" xfId="0" applyNumberFormat="1" applyFont="1" applyAlignment="1">
      <alignment horizontal="left"/>
    </xf>
    <xf numFmtId="165" fontId="133" fillId="0" borderId="0" xfId="0" applyNumberFormat="1" applyFont="1"/>
    <xf numFmtId="49" fontId="126" fillId="0" borderId="0" xfId="0" applyNumberFormat="1" applyFont="1" applyAlignment="1">
      <alignment wrapText="1"/>
    </xf>
    <xf numFmtId="49" fontId="133" fillId="0" borderId="0" xfId="0" applyNumberFormat="1" applyFont="1"/>
    <xf numFmtId="0" fontId="79" fillId="0" borderId="9" xfId="0" applyFont="1" applyBorder="1" applyAlignment="1">
      <alignment wrapText="1"/>
    </xf>
    <xf numFmtId="49" fontId="79" fillId="7" borderId="11" xfId="0" applyNumberFormat="1" applyFont="1" applyFill="1" applyBorder="1" applyAlignment="1">
      <alignment horizontal="center" vertical="center"/>
    </xf>
    <xf numFmtId="0" fontId="79" fillId="7" borderId="12" xfId="0" applyFont="1" applyFill="1" applyBorder="1" applyAlignment="1">
      <alignment wrapText="1"/>
    </xf>
    <xf numFmtId="0" fontId="79" fillId="7" borderId="44" xfId="0" applyFont="1" applyFill="1" applyBorder="1"/>
    <xf numFmtId="0" fontId="79" fillId="7" borderId="0" xfId="0" applyFont="1" applyFill="1"/>
    <xf numFmtId="3" fontId="80" fillId="0" borderId="4" xfId="5" applyNumberFormat="1" applyFont="1" applyBorder="1" applyAlignment="1">
      <alignment horizontal="center" wrapText="1"/>
    </xf>
    <xf numFmtId="3" fontId="80" fillId="0" borderId="62" xfId="5" applyNumberFormat="1" applyFont="1" applyBorder="1" applyAlignment="1">
      <alignment horizontal="center" wrapText="1"/>
    </xf>
    <xf numFmtId="3" fontId="80" fillId="4" borderId="27" xfId="5" applyNumberFormat="1" applyFont="1" applyFill="1" applyBorder="1" applyAlignment="1">
      <alignment horizontal="center"/>
    </xf>
    <xf numFmtId="3" fontId="79" fillId="0" borderId="4" xfId="5" applyNumberFormat="1" applyFont="1" applyBorder="1" applyAlignment="1">
      <alignment horizontal="right"/>
    </xf>
    <xf numFmtId="3" fontId="79" fillId="0" borderId="62" xfId="5" applyNumberFormat="1" applyFont="1" applyBorder="1" applyAlignment="1">
      <alignment horizontal="right"/>
    </xf>
    <xf numFmtId="3" fontId="80" fillId="4" borderId="46" xfId="5" applyNumberFormat="1" applyFont="1" applyFill="1" applyBorder="1" applyAlignment="1">
      <alignment horizontal="right" vertical="center"/>
    </xf>
    <xf numFmtId="3" fontId="79" fillId="0" borderId="12" xfId="5" applyNumberFormat="1" applyFont="1" applyBorder="1" applyAlignment="1">
      <alignment horizontal="right"/>
    </xf>
    <xf numFmtId="3" fontId="79" fillId="0" borderId="56" xfId="5" applyNumberFormat="1" applyFont="1" applyBorder="1" applyAlignment="1">
      <alignment horizontal="right"/>
    </xf>
    <xf numFmtId="3" fontId="80" fillId="4" borderId="77" xfId="5" applyNumberFormat="1" applyFont="1" applyFill="1" applyBorder="1" applyAlignment="1">
      <alignment horizontal="right" vertical="center"/>
    </xf>
    <xf numFmtId="3" fontId="79" fillId="0" borderId="52" xfId="5" applyNumberFormat="1" applyFont="1" applyBorder="1" applyAlignment="1">
      <alignment horizontal="right"/>
    </xf>
    <xf numFmtId="3" fontId="79" fillId="0" borderId="64" xfId="5" applyNumberFormat="1" applyFont="1" applyBorder="1" applyAlignment="1">
      <alignment horizontal="right"/>
    </xf>
    <xf numFmtId="3" fontId="80" fillId="4" borderId="74" xfId="5" applyNumberFormat="1" applyFont="1" applyFill="1" applyBorder="1" applyAlignment="1">
      <alignment horizontal="right" vertical="center"/>
    </xf>
    <xf numFmtId="3" fontId="87" fillId="7" borderId="5" xfId="5" applyNumberFormat="1" applyFont="1" applyFill="1" applyBorder="1" applyAlignment="1">
      <alignment horizontal="right"/>
    </xf>
    <xf numFmtId="3" fontId="87" fillId="7" borderId="60" xfId="5" applyNumberFormat="1" applyFont="1" applyFill="1" applyBorder="1" applyAlignment="1">
      <alignment horizontal="right"/>
    </xf>
    <xf numFmtId="3" fontId="90" fillId="7" borderId="27" xfId="5" applyNumberFormat="1" applyFont="1" applyFill="1" applyBorder="1" applyAlignment="1">
      <alignment horizontal="right" vertical="center"/>
    </xf>
    <xf numFmtId="3" fontId="80" fillId="4" borderId="27" xfId="5" applyNumberFormat="1" applyFont="1" applyFill="1" applyBorder="1" applyAlignment="1">
      <alignment horizontal="right" vertical="center"/>
    </xf>
    <xf numFmtId="3" fontId="90" fillId="7" borderId="48" xfId="5" applyNumberFormat="1" applyFont="1" applyFill="1" applyBorder="1" applyAlignment="1">
      <alignment horizontal="right" vertical="center"/>
    </xf>
    <xf numFmtId="3" fontId="79" fillId="0" borderId="4" xfId="5" applyNumberFormat="1" applyFont="1" applyBorder="1" applyAlignment="1">
      <alignment horizontal="right" vertical="center" wrapText="1"/>
    </xf>
    <xf numFmtId="3" fontId="80" fillId="0" borderId="4" xfId="5" applyNumberFormat="1" applyFont="1" applyBorder="1" applyAlignment="1">
      <alignment horizontal="right" vertical="center" wrapText="1"/>
    </xf>
    <xf numFmtId="3" fontId="80" fillId="0" borderId="62" xfId="5" applyNumberFormat="1" applyFont="1" applyBorder="1" applyAlignment="1">
      <alignment horizontal="right" vertical="center" wrapText="1"/>
    </xf>
    <xf numFmtId="3" fontId="79" fillId="0" borderId="12" xfId="5" applyNumberFormat="1" applyFont="1" applyBorder="1" applyAlignment="1">
      <alignment horizontal="right" vertical="center" wrapText="1"/>
    </xf>
    <xf numFmtId="3" fontId="80" fillId="0" borderId="12" xfId="5" applyNumberFormat="1" applyFont="1" applyBorder="1" applyAlignment="1">
      <alignment horizontal="right" vertical="center" wrapText="1"/>
    </xf>
    <xf numFmtId="3" fontId="80" fillId="0" borderId="56" xfId="5" applyNumberFormat="1" applyFont="1" applyBorder="1" applyAlignment="1">
      <alignment horizontal="right" vertical="center" wrapText="1"/>
    </xf>
    <xf numFmtId="3" fontId="79" fillId="0" borderId="52" xfId="5" applyNumberFormat="1" applyFont="1" applyBorder="1" applyAlignment="1">
      <alignment horizontal="right" vertical="center" wrapText="1"/>
    </xf>
    <xf numFmtId="3" fontId="80" fillId="0" borderId="52" xfId="5" applyNumberFormat="1" applyFont="1" applyBorder="1" applyAlignment="1">
      <alignment horizontal="right" vertical="center" wrapText="1"/>
    </xf>
    <xf numFmtId="3" fontId="80" fillId="0" borderId="64" xfId="5" applyNumberFormat="1" applyFont="1" applyBorder="1" applyAlignment="1">
      <alignment horizontal="right" vertical="center" wrapText="1"/>
    </xf>
    <xf numFmtId="3" fontId="87" fillId="7" borderId="5" xfId="5" applyNumberFormat="1" applyFont="1" applyFill="1" applyBorder="1" applyAlignment="1">
      <alignment horizontal="right" vertical="center" wrapText="1"/>
    </xf>
    <xf numFmtId="3" fontId="90" fillId="7" borderId="5" xfId="5" applyNumberFormat="1" applyFont="1" applyFill="1" applyBorder="1" applyAlignment="1">
      <alignment horizontal="right" vertical="center" wrapText="1"/>
    </xf>
    <xf numFmtId="3" fontId="90" fillId="7" borderId="60" xfId="5" applyNumberFormat="1" applyFont="1" applyFill="1" applyBorder="1" applyAlignment="1">
      <alignment horizontal="right" vertical="center" wrapText="1"/>
    </xf>
    <xf numFmtId="3" fontId="79" fillId="0" borderId="52" xfId="5" applyNumberFormat="1" applyFont="1" applyBorder="1" applyAlignment="1">
      <alignment horizontal="center" vertical="center" wrapText="1"/>
    </xf>
    <xf numFmtId="3" fontId="87" fillId="7" borderId="5" xfId="5" applyNumberFormat="1" applyFont="1" applyFill="1" applyBorder="1" applyAlignment="1">
      <alignment horizontal="center" vertical="center" wrapText="1"/>
    </xf>
    <xf numFmtId="3" fontId="80" fillId="4" borderId="78" xfId="5" applyNumberFormat="1" applyFont="1" applyFill="1" applyBorder="1" applyAlignment="1">
      <alignment horizontal="right" vertical="center"/>
    </xf>
    <xf numFmtId="3" fontId="87" fillId="7" borderId="6" xfId="5" applyNumberFormat="1" applyFont="1" applyFill="1" applyBorder="1" applyAlignment="1">
      <alignment horizontal="right"/>
    </xf>
    <xf numFmtId="3" fontId="87" fillId="7" borderId="7" xfId="5" applyNumberFormat="1" applyFont="1" applyFill="1" applyBorder="1" applyAlignment="1">
      <alignment horizontal="right"/>
    </xf>
    <xf numFmtId="3" fontId="90" fillId="7" borderId="44" xfId="5" applyNumberFormat="1" applyFont="1" applyFill="1" applyBorder="1" applyAlignment="1">
      <alignment horizontal="right" vertical="center"/>
    </xf>
    <xf numFmtId="3" fontId="79" fillId="0" borderId="9" xfId="5" applyNumberFormat="1" applyFont="1" applyBorder="1" applyAlignment="1">
      <alignment horizontal="right"/>
    </xf>
    <xf numFmtId="3" fontId="79" fillId="0" borderId="10" xfId="5" applyNumberFormat="1" applyFont="1" applyBorder="1" applyAlignment="1">
      <alignment horizontal="right"/>
    </xf>
    <xf numFmtId="3" fontId="80" fillId="4" borderId="76" xfId="5" applyNumberFormat="1" applyFont="1" applyFill="1" applyBorder="1" applyAlignment="1">
      <alignment horizontal="right" vertical="center"/>
    </xf>
    <xf numFmtId="3" fontId="79" fillId="7" borderId="12" xfId="5" applyNumberFormat="1" applyFont="1" applyFill="1" applyBorder="1" applyAlignment="1">
      <alignment horizontal="right"/>
    </xf>
    <xf numFmtId="3" fontId="79" fillId="7" borderId="13" xfId="5" applyNumberFormat="1" applyFont="1" applyFill="1" applyBorder="1" applyAlignment="1">
      <alignment horizontal="right"/>
    </xf>
    <xf numFmtId="3" fontId="80" fillId="5" borderId="77" xfId="5" applyNumberFormat="1" applyFont="1" applyFill="1" applyBorder="1" applyAlignment="1">
      <alignment horizontal="right" vertical="center"/>
    </xf>
    <xf numFmtId="3" fontId="109" fillId="0" borderId="5" xfId="5" applyNumberFormat="1" applyFont="1" applyBorder="1" applyAlignment="1">
      <alignment horizontal="right"/>
    </xf>
    <xf numFmtId="3" fontId="109" fillId="0" borderId="60" xfId="5" applyNumberFormat="1" applyFont="1" applyBorder="1" applyAlignment="1">
      <alignment horizontal="right"/>
    </xf>
    <xf numFmtId="3" fontId="110" fillId="5" borderId="27" xfId="5" applyNumberFormat="1" applyFont="1" applyFill="1" applyBorder="1" applyAlignment="1">
      <alignment horizontal="right" vertical="center"/>
    </xf>
    <xf numFmtId="3" fontId="109" fillId="0" borderId="12" xfId="5" applyNumberFormat="1" applyFont="1" applyBorder="1" applyAlignment="1">
      <alignment horizontal="right"/>
    </xf>
    <xf numFmtId="3" fontId="80" fillId="5" borderId="78" xfId="5" applyNumberFormat="1" applyFont="1" applyFill="1" applyBorder="1" applyAlignment="1">
      <alignment horizontal="right" vertical="center"/>
    </xf>
    <xf numFmtId="3" fontId="109" fillId="0" borderId="52" xfId="5" applyNumberFormat="1" applyFont="1" applyBorder="1" applyAlignment="1">
      <alignment horizontal="right"/>
    </xf>
    <xf numFmtId="3" fontId="80" fillId="5" borderId="74" xfId="5" applyNumberFormat="1" applyFont="1" applyFill="1" applyBorder="1" applyAlignment="1">
      <alignment horizontal="right" vertical="center"/>
    </xf>
    <xf numFmtId="3" fontId="111" fillId="7" borderId="5" xfId="5" applyNumberFormat="1" applyFont="1" applyFill="1" applyBorder="1" applyAlignment="1">
      <alignment horizontal="right"/>
    </xf>
    <xf numFmtId="3" fontId="109" fillId="0" borderId="4" xfId="5" applyNumberFormat="1" applyFont="1" applyBorder="1" applyAlignment="1">
      <alignment horizontal="right"/>
    </xf>
    <xf numFmtId="3" fontId="80" fillId="5" borderId="27" xfId="5" applyNumberFormat="1" applyFont="1" applyFill="1" applyBorder="1" applyAlignment="1">
      <alignment horizontal="right" vertical="center"/>
    </xf>
    <xf numFmtId="3" fontId="79" fillId="0" borderId="5" xfId="5" applyNumberFormat="1" applyFont="1" applyBorder="1" applyAlignment="1">
      <alignment horizontal="right"/>
    </xf>
    <xf numFmtId="3" fontId="79" fillId="0" borderId="60" xfId="5" applyNumberFormat="1" applyFont="1" applyBorder="1" applyAlignment="1">
      <alignment horizontal="right"/>
    </xf>
    <xf numFmtId="3" fontId="117" fillId="7" borderId="5" xfId="5" applyNumberFormat="1" applyFont="1" applyFill="1" applyBorder="1" applyAlignment="1">
      <alignment horizontal="right"/>
    </xf>
    <xf numFmtId="3" fontId="117" fillId="7" borderId="60" xfId="5" applyNumberFormat="1" applyFont="1" applyFill="1" applyBorder="1" applyAlignment="1">
      <alignment horizontal="right"/>
    </xf>
    <xf numFmtId="3" fontId="118" fillId="5" borderId="42" xfId="5" applyNumberFormat="1" applyFont="1" applyFill="1" applyBorder="1" applyAlignment="1">
      <alignment horizontal="right" vertical="center"/>
    </xf>
    <xf numFmtId="3" fontId="117" fillId="7" borderId="12" xfId="5" applyNumberFormat="1" applyFont="1" applyFill="1" applyBorder="1" applyAlignment="1">
      <alignment horizontal="right"/>
    </xf>
    <xf numFmtId="3" fontId="117" fillId="7" borderId="56" xfId="5" applyNumberFormat="1" applyFont="1" applyFill="1" applyBorder="1" applyAlignment="1">
      <alignment horizontal="right"/>
    </xf>
    <xf numFmtId="3" fontId="118" fillId="5" borderId="77" xfId="5" applyNumberFormat="1" applyFont="1" applyFill="1" applyBorder="1" applyAlignment="1">
      <alignment horizontal="right" vertical="center"/>
    </xf>
    <xf numFmtId="3" fontId="117" fillId="7" borderId="6" xfId="5" applyNumberFormat="1" applyFont="1" applyFill="1" applyBorder="1" applyAlignment="1">
      <alignment horizontal="right"/>
    </xf>
    <xf numFmtId="3" fontId="117" fillId="7" borderId="7" xfId="5" applyNumberFormat="1" applyFont="1" applyFill="1" applyBorder="1" applyAlignment="1">
      <alignment horizontal="right"/>
    </xf>
    <xf numFmtId="3" fontId="118" fillId="5" borderId="73" xfId="5" applyNumberFormat="1" applyFont="1" applyFill="1" applyBorder="1" applyAlignment="1">
      <alignment horizontal="right" vertical="center"/>
    </xf>
    <xf numFmtId="3" fontId="117" fillId="7" borderId="9" xfId="5" applyNumberFormat="1" applyFont="1" applyFill="1" applyBorder="1" applyAlignment="1">
      <alignment horizontal="right"/>
    </xf>
    <xf numFmtId="3" fontId="117" fillId="7" borderId="79" xfId="5" applyNumberFormat="1" applyFont="1" applyFill="1" applyBorder="1" applyAlignment="1">
      <alignment horizontal="right"/>
    </xf>
    <xf numFmtId="3" fontId="118" fillId="7" borderId="76" xfId="5" applyNumberFormat="1" applyFont="1" applyFill="1" applyBorder="1" applyAlignment="1">
      <alignment horizontal="right" vertical="center"/>
    </xf>
    <xf numFmtId="3" fontId="119" fillId="7" borderId="5" xfId="5" applyNumberFormat="1" applyFont="1" applyFill="1" applyBorder="1" applyAlignment="1">
      <alignment horizontal="right"/>
    </xf>
    <xf numFmtId="3" fontId="119" fillId="7" borderId="60" xfId="5" applyNumberFormat="1" applyFont="1" applyFill="1" applyBorder="1" applyAlignment="1">
      <alignment horizontal="right"/>
    </xf>
    <xf numFmtId="3" fontId="120" fillId="5" borderId="42" xfId="5" applyNumberFormat="1" applyFont="1" applyFill="1" applyBorder="1" applyAlignment="1">
      <alignment horizontal="right" vertical="center"/>
    </xf>
    <xf numFmtId="3" fontId="117" fillId="7" borderId="4" xfId="5" applyNumberFormat="1" applyFont="1" applyFill="1" applyBorder="1" applyAlignment="1">
      <alignment horizontal="right"/>
    </xf>
    <xf numFmtId="3" fontId="117" fillId="7" borderId="62" xfId="5" applyNumberFormat="1" applyFont="1" applyFill="1" applyBorder="1" applyAlignment="1">
      <alignment horizontal="right"/>
    </xf>
    <xf numFmtId="3" fontId="118" fillId="5" borderId="41" xfId="5" applyNumberFormat="1" applyFont="1" applyFill="1" applyBorder="1" applyAlignment="1">
      <alignment horizontal="right" vertical="center"/>
    </xf>
    <xf numFmtId="3" fontId="117" fillId="7" borderId="43" xfId="5" applyNumberFormat="1" applyFont="1" applyFill="1" applyBorder="1" applyAlignment="1">
      <alignment horizontal="right"/>
    </xf>
    <xf numFmtId="3" fontId="117" fillId="7" borderId="61" xfId="5" applyNumberFormat="1" applyFont="1" applyFill="1" applyBorder="1" applyAlignment="1">
      <alignment horizontal="right"/>
    </xf>
    <xf numFmtId="3" fontId="118" fillId="5" borderId="71" xfId="5" applyNumberFormat="1" applyFont="1" applyFill="1" applyBorder="1" applyAlignment="1">
      <alignment horizontal="right" vertical="center"/>
    </xf>
    <xf numFmtId="3" fontId="80" fillId="0" borderId="27" xfId="5" applyNumberFormat="1" applyFont="1" applyBorder="1" applyAlignment="1">
      <alignment horizontal="right" vertical="center"/>
    </xf>
    <xf numFmtId="3" fontId="80" fillId="3" borderId="26" xfId="0" applyNumberFormat="1" applyFont="1" applyFill="1" applyBorder="1" applyAlignment="1">
      <alignment horizontal="right"/>
    </xf>
    <xf numFmtId="3" fontId="80" fillId="3" borderId="21" xfId="0" applyNumberFormat="1" applyFont="1" applyFill="1" applyBorder="1" applyAlignment="1">
      <alignment horizontal="right"/>
    </xf>
    <xf numFmtId="3" fontId="80" fillId="3" borderId="31" xfId="0" applyNumberFormat="1" applyFont="1" applyFill="1" applyBorder="1" applyAlignment="1">
      <alignment horizontal="right"/>
    </xf>
    <xf numFmtId="3" fontId="80" fillId="3" borderId="68" xfId="0" applyNumberFormat="1" applyFont="1" applyFill="1" applyBorder="1" applyAlignment="1">
      <alignment horizontal="right"/>
    </xf>
    <xf numFmtId="3" fontId="80" fillId="3" borderId="69" xfId="0" applyNumberFormat="1" applyFont="1" applyFill="1" applyBorder="1" applyAlignment="1">
      <alignment horizontal="right"/>
    </xf>
    <xf numFmtId="3" fontId="80" fillId="3" borderId="72" xfId="0" applyNumberFormat="1" applyFont="1" applyFill="1" applyBorder="1" applyAlignment="1">
      <alignment horizontal="right"/>
    </xf>
    <xf numFmtId="3" fontId="90" fillId="7" borderId="68" xfId="0" applyNumberFormat="1" applyFont="1" applyFill="1" applyBorder="1" applyAlignment="1">
      <alignment horizontal="right"/>
    </xf>
    <xf numFmtId="3" fontId="90" fillId="7" borderId="69" xfId="0" applyNumberFormat="1" applyFont="1" applyFill="1" applyBorder="1" applyAlignment="1">
      <alignment horizontal="right"/>
    </xf>
    <xf numFmtId="3" fontId="90" fillId="7" borderId="33" xfId="0" applyNumberFormat="1" applyFont="1" applyFill="1" applyBorder="1" applyAlignment="1">
      <alignment horizontal="right"/>
    </xf>
    <xf numFmtId="3" fontId="80" fillId="0" borderId="68" xfId="0" applyNumberFormat="1" applyFont="1" applyBorder="1" applyAlignment="1">
      <alignment horizontal="right"/>
    </xf>
    <xf numFmtId="3" fontId="80" fillId="0" borderId="69" xfId="0" applyNumberFormat="1" applyFont="1" applyBorder="1" applyAlignment="1">
      <alignment horizontal="right"/>
    </xf>
    <xf numFmtId="3" fontId="80" fillId="0" borderId="33" xfId="0" applyNumberFormat="1" applyFont="1" applyBorder="1" applyAlignment="1">
      <alignment horizontal="right"/>
    </xf>
    <xf numFmtId="3" fontId="80" fillId="0" borderId="46" xfId="0" applyNumberFormat="1" applyFont="1" applyBorder="1" applyAlignment="1">
      <alignment horizontal="right"/>
    </xf>
    <xf numFmtId="3" fontId="82" fillId="0" borderId="9" xfId="5" applyNumberFormat="1" applyFont="1" applyBorder="1" applyAlignment="1">
      <alignment horizontal="right"/>
    </xf>
    <xf numFmtId="3" fontId="79" fillId="0" borderId="9" xfId="0" applyNumberFormat="1" applyFont="1" applyBorder="1"/>
    <xf numFmtId="3" fontId="79" fillId="0" borderId="79" xfId="0" applyNumberFormat="1" applyFont="1" applyBorder="1"/>
    <xf numFmtId="3" fontId="80" fillId="4" borderId="78" xfId="0" applyNumberFormat="1" applyFont="1" applyFill="1" applyBorder="1"/>
    <xf numFmtId="3" fontId="79" fillId="0" borderId="43" xfId="5" applyNumberFormat="1" applyFont="1" applyBorder="1" applyAlignment="1">
      <alignment horizontal="right"/>
    </xf>
    <xf numFmtId="3" fontId="82" fillId="0" borderId="43" xfId="5" applyNumberFormat="1" applyFont="1" applyBorder="1" applyAlignment="1">
      <alignment horizontal="right"/>
    </xf>
    <xf numFmtId="3" fontId="79" fillId="0" borderId="43" xfId="0" applyNumberFormat="1" applyFont="1" applyBorder="1"/>
    <xf numFmtId="3" fontId="79" fillId="0" borderId="61" xfId="0" applyNumberFormat="1" applyFont="1" applyBorder="1"/>
    <xf numFmtId="3" fontId="80" fillId="4" borderId="44" xfId="0" applyNumberFormat="1" applyFont="1" applyFill="1" applyBorder="1"/>
    <xf numFmtId="3" fontId="82" fillId="0" borderId="12" xfId="5" applyNumberFormat="1" applyFont="1" applyBorder="1" applyAlignment="1">
      <alignment horizontal="right"/>
    </xf>
    <xf numFmtId="3" fontId="79" fillId="0" borderId="12" xfId="0" applyNumberFormat="1" applyFont="1" applyBorder="1"/>
    <xf numFmtId="3" fontId="79" fillId="0" borderId="56" xfId="0" applyNumberFormat="1" applyFont="1" applyBorder="1"/>
    <xf numFmtId="3" fontId="80" fillId="4" borderId="77" xfId="0" applyNumberFormat="1" applyFont="1" applyFill="1" applyBorder="1"/>
    <xf numFmtId="3" fontId="87" fillId="7" borderId="52" xfId="5" applyNumberFormat="1" applyFont="1" applyFill="1" applyBorder="1" applyAlignment="1">
      <alignment horizontal="right"/>
    </xf>
    <xf numFmtId="3" fontId="87" fillId="7" borderId="52" xfId="0" applyNumberFormat="1" applyFont="1" applyFill="1" applyBorder="1"/>
    <xf numFmtId="3" fontId="87" fillId="7" borderId="64" xfId="0" applyNumberFormat="1" applyFont="1" applyFill="1" applyBorder="1"/>
    <xf numFmtId="3" fontId="90" fillId="7" borderId="27" xfId="0" applyNumberFormat="1" applyFont="1" applyFill="1" applyBorder="1"/>
    <xf numFmtId="3" fontId="80" fillId="3" borderId="52" xfId="0" applyNumberFormat="1" applyFont="1" applyFill="1" applyBorder="1" applyAlignment="1">
      <alignment horizontal="right"/>
    </xf>
    <xf numFmtId="3" fontId="80" fillId="3" borderId="64" xfId="0" applyNumberFormat="1" applyFont="1" applyFill="1" applyBorder="1" applyAlignment="1">
      <alignment horizontal="right"/>
    </xf>
    <xf numFmtId="3" fontId="80" fillId="3" borderId="74" xfId="0" applyNumberFormat="1" applyFont="1" applyFill="1" applyBorder="1" applyAlignment="1">
      <alignment horizontal="right"/>
    </xf>
    <xf numFmtId="3" fontId="90" fillId="7" borderId="5" xfId="0" applyNumberFormat="1" applyFont="1" applyFill="1" applyBorder="1" applyAlignment="1">
      <alignment horizontal="right"/>
    </xf>
    <xf numFmtId="3" fontId="90" fillId="7" borderId="60" xfId="0" applyNumberFormat="1" applyFont="1" applyFill="1" applyBorder="1" applyAlignment="1">
      <alignment horizontal="right"/>
    </xf>
    <xf numFmtId="3" fontId="90" fillId="7" borderId="27" xfId="0" applyNumberFormat="1" applyFont="1" applyFill="1" applyBorder="1" applyAlignment="1">
      <alignment horizontal="right"/>
    </xf>
    <xf numFmtId="3" fontId="90" fillId="7" borderId="12" xfId="0" applyNumberFormat="1" applyFont="1" applyFill="1" applyBorder="1" applyAlignment="1">
      <alignment horizontal="right"/>
    </xf>
    <xf numFmtId="3" fontId="90" fillId="7" borderId="56" xfId="0" applyNumberFormat="1" applyFont="1" applyFill="1" applyBorder="1" applyAlignment="1">
      <alignment horizontal="right"/>
    </xf>
    <xf numFmtId="3" fontId="90" fillId="7" borderId="78" xfId="0" applyNumberFormat="1" applyFont="1" applyFill="1" applyBorder="1" applyAlignment="1">
      <alignment horizontal="right"/>
    </xf>
    <xf numFmtId="3" fontId="79" fillId="0" borderId="44" xfId="5" applyNumberFormat="1" applyFont="1" applyBorder="1" applyAlignment="1">
      <alignment horizontal="right"/>
    </xf>
    <xf numFmtId="3" fontId="79" fillId="0" borderId="6" xfId="5" applyNumberFormat="1" applyFont="1" applyBorder="1" applyAlignment="1">
      <alignment horizontal="right"/>
    </xf>
    <xf numFmtId="3" fontId="79" fillId="0" borderId="7" xfId="5" applyNumberFormat="1" applyFont="1" applyBorder="1" applyAlignment="1">
      <alignment horizontal="right"/>
    </xf>
    <xf numFmtId="3" fontId="79" fillId="0" borderId="78" xfId="5" applyNumberFormat="1" applyFont="1" applyBorder="1" applyAlignment="1">
      <alignment horizontal="right"/>
    </xf>
    <xf numFmtId="3" fontId="79" fillId="0" borderId="9" xfId="5" applyNumberFormat="1" applyFont="1" applyBorder="1" applyAlignment="1">
      <alignment horizontal="right" vertical="center" wrapText="1"/>
    </xf>
    <xf numFmtId="3" fontId="79" fillId="0" borderId="79" xfId="5" applyNumberFormat="1" applyFont="1" applyBorder="1" applyAlignment="1">
      <alignment horizontal="right"/>
    </xf>
    <xf numFmtId="3" fontId="80" fillId="4" borderId="27" xfId="5" applyNumberFormat="1" applyFont="1" applyFill="1" applyBorder="1" applyAlignment="1">
      <alignment horizontal="right"/>
    </xf>
    <xf numFmtId="3" fontId="80" fillId="4" borderId="77" xfId="5" applyNumberFormat="1" applyFont="1" applyFill="1" applyBorder="1" applyAlignment="1">
      <alignment horizontal="right"/>
    </xf>
    <xf numFmtId="3" fontId="80" fillId="4" borderId="48" xfId="5" applyNumberFormat="1" applyFont="1" applyFill="1" applyBorder="1" applyAlignment="1">
      <alignment horizontal="right"/>
    </xf>
    <xf numFmtId="3" fontId="90" fillId="7" borderId="27" xfId="5" applyNumberFormat="1" applyFont="1" applyFill="1" applyBorder="1" applyAlignment="1">
      <alignment horizontal="right"/>
    </xf>
    <xf numFmtId="3" fontId="80" fillId="5" borderId="48" xfId="5" applyNumberFormat="1" applyFont="1" applyFill="1" applyBorder="1" applyAlignment="1">
      <alignment horizontal="right" vertical="center"/>
    </xf>
    <xf numFmtId="3" fontId="80" fillId="4" borderId="48" xfId="5" applyNumberFormat="1" applyFont="1" applyFill="1" applyBorder="1" applyAlignment="1">
      <alignment horizontal="right" vertical="center"/>
    </xf>
    <xf numFmtId="3" fontId="79" fillId="0" borderId="61" xfId="5" applyNumberFormat="1" applyFont="1" applyBorder="1" applyAlignment="1">
      <alignment horizontal="right"/>
    </xf>
    <xf numFmtId="3" fontId="80" fillId="4" borderId="49" xfId="5" applyNumberFormat="1" applyFont="1" applyFill="1" applyBorder="1" applyAlignment="1">
      <alignment horizontal="right" vertical="center"/>
    </xf>
    <xf numFmtId="3" fontId="80" fillId="3" borderId="33" xfId="0" applyNumberFormat="1" applyFont="1" applyFill="1" applyBorder="1" applyAlignment="1">
      <alignment horizontal="right"/>
    </xf>
    <xf numFmtId="3" fontId="80" fillId="0" borderId="12" xfId="0" applyNumberFormat="1" applyFont="1" applyBorder="1" applyAlignment="1">
      <alignment horizontal="right"/>
    </xf>
    <xf numFmtId="3" fontId="80" fillId="0" borderId="56" xfId="0" applyNumberFormat="1" applyFont="1" applyBorder="1" applyAlignment="1">
      <alignment horizontal="right"/>
    </xf>
    <xf numFmtId="3" fontId="80" fillId="0" borderId="78" xfId="0" applyNumberFormat="1" applyFont="1" applyBorder="1" applyAlignment="1">
      <alignment horizontal="right"/>
    </xf>
    <xf numFmtId="3" fontId="80" fillId="3" borderId="6" xfId="0" applyNumberFormat="1" applyFont="1" applyFill="1" applyBorder="1" applyAlignment="1">
      <alignment horizontal="right"/>
    </xf>
    <xf numFmtId="3" fontId="80" fillId="3" borderId="7" xfId="0" applyNumberFormat="1" applyFont="1" applyFill="1" applyBorder="1" applyAlignment="1">
      <alignment horizontal="right"/>
    </xf>
    <xf numFmtId="3" fontId="80" fillId="3" borderId="44" xfId="0" applyNumberFormat="1" applyFont="1" applyFill="1" applyBorder="1" applyAlignment="1">
      <alignment horizontal="right"/>
    </xf>
    <xf numFmtId="3" fontId="80" fillId="3" borderId="12" xfId="0" applyNumberFormat="1" applyFont="1" applyFill="1" applyBorder="1" applyAlignment="1">
      <alignment horizontal="right"/>
    </xf>
    <xf numFmtId="3" fontId="80" fillId="3" borderId="56" xfId="0" applyNumberFormat="1" applyFont="1" applyFill="1" applyBorder="1" applyAlignment="1">
      <alignment horizontal="right"/>
    </xf>
    <xf numFmtId="3" fontId="80" fillId="3" borderId="78" xfId="0" applyNumberFormat="1" applyFont="1" applyFill="1" applyBorder="1" applyAlignment="1">
      <alignment horizontal="right"/>
    </xf>
    <xf numFmtId="3" fontId="79" fillId="0" borderId="9" xfId="5" applyNumberFormat="1" applyFont="1" applyBorder="1" applyAlignment="1">
      <alignment horizontal="center" wrapText="1"/>
    </xf>
    <xf numFmtId="3" fontId="79" fillId="0" borderId="79" xfId="5" applyNumberFormat="1" applyFont="1" applyBorder="1" applyAlignment="1">
      <alignment horizontal="center" wrapText="1"/>
    </xf>
    <xf numFmtId="3" fontId="79" fillId="4" borderId="10" xfId="5" applyNumberFormat="1" applyFont="1" applyFill="1" applyBorder="1" applyAlignment="1">
      <alignment horizontal="right"/>
    </xf>
    <xf numFmtId="3" fontId="79" fillId="0" borderId="12" xfId="5" applyNumberFormat="1" applyFont="1" applyBorder="1" applyAlignment="1">
      <alignment horizontal="center" wrapText="1"/>
    </xf>
    <xf numFmtId="3" fontId="79" fillId="0" borderId="56" xfId="5" applyNumberFormat="1" applyFont="1" applyBorder="1" applyAlignment="1">
      <alignment horizontal="center" wrapText="1"/>
    </xf>
    <xf numFmtId="3" fontId="79" fillId="4" borderId="13" xfId="5" applyNumberFormat="1" applyFont="1" applyFill="1" applyBorder="1" applyAlignment="1">
      <alignment horizontal="right"/>
    </xf>
    <xf numFmtId="3" fontId="79" fillId="0" borderId="52" xfId="5" applyNumberFormat="1" applyFont="1" applyBorder="1" applyAlignment="1">
      <alignment horizontal="center" wrapText="1"/>
    </xf>
    <xf numFmtId="3" fontId="79" fillId="0" borderId="64" xfId="5" applyNumberFormat="1" applyFont="1" applyBorder="1" applyAlignment="1">
      <alignment horizontal="center" wrapText="1"/>
    </xf>
    <xf numFmtId="3" fontId="79" fillId="4" borderId="40" xfId="5" applyNumberFormat="1" applyFont="1" applyFill="1" applyBorder="1" applyAlignment="1">
      <alignment horizontal="right"/>
    </xf>
    <xf numFmtId="3" fontId="87" fillId="7" borderId="5" xfId="5" applyNumberFormat="1" applyFont="1" applyFill="1" applyBorder="1" applyAlignment="1">
      <alignment horizontal="center" wrapText="1"/>
    </xf>
    <xf numFmtId="3" fontId="87" fillId="7" borderId="60" xfId="5" applyNumberFormat="1" applyFont="1" applyFill="1" applyBorder="1" applyAlignment="1">
      <alignment horizontal="center" wrapText="1"/>
    </xf>
    <xf numFmtId="3" fontId="87" fillId="7" borderId="15" xfId="5" applyNumberFormat="1" applyFont="1" applyFill="1" applyBorder="1" applyAlignment="1">
      <alignment horizontal="right"/>
    </xf>
    <xf numFmtId="3" fontId="79" fillId="0" borderId="4" xfId="5" applyNumberFormat="1" applyFont="1" applyBorder="1" applyAlignment="1">
      <alignment horizontal="center" wrapText="1"/>
    </xf>
    <xf numFmtId="3" fontId="79" fillId="0" borderId="62" xfId="5" applyNumberFormat="1" applyFont="1" applyBorder="1" applyAlignment="1">
      <alignment horizontal="center" wrapText="1"/>
    </xf>
    <xf numFmtId="3" fontId="79" fillId="4" borderId="23" xfId="5" applyNumberFormat="1" applyFont="1" applyFill="1" applyBorder="1" applyAlignment="1">
      <alignment horizontal="right"/>
    </xf>
    <xf numFmtId="3" fontId="79" fillId="0" borderId="43" xfId="5" applyNumberFormat="1" applyFont="1" applyBorder="1" applyAlignment="1">
      <alignment horizontal="center" wrapText="1"/>
    </xf>
    <xf numFmtId="3" fontId="79" fillId="0" borderId="61" xfId="5" applyNumberFormat="1" applyFont="1" applyBorder="1" applyAlignment="1">
      <alignment horizontal="center" wrapText="1"/>
    </xf>
    <xf numFmtId="3" fontId="49" fillId="0" borderId="9" xfId="5" applyNumberFormat="1" applyFont="1" applyBorder="1" applyAlignment="1">
      <alignment horizontal="center" wrapText="1"/>
    </xf>
    <xf numFmtId="3" fontId="49" fillId="4" borderId="10" xfId="5" applyNumberFormat="1" applyFont="1" applyFill="1" applyBorder="1" applyAlignment="1">
      <alignment horizontal="right"/>
    </xf>
    <xf numFmtId="3" fontId="49" fillId="0" borderId="12" xfId="5" applyNumberFormat="1" applyFont="1" applyBorder="1" applyAlignment="1">
      <alignment horizontal="center" wrapText="1"/>
    </xf>
    <xf numFmtId="3" fontId="49" fillId="4" borderId="13" xfId="5" applyNumberFormat="1" applyFont="1" applyFill="1" applyBorder="1" applyAlignment="1">
      <alignment horizontal="right"/>
    </xf>
    <xf numFmtId="3" fontId="79" fillId="0" borderId="4" xfId="0" applyNumberFormat="1" applyFont="1" applyBorder="1" applyAlignment="1">
      <alignment horizontal="right"/>
    </xf>
    <xf numFmtId="3" fontId="79" fillId="0" borderId="12" xfId="0" applyNumberFormat="1" applyFont="1" applyBorder="1" applyAlignment="1">
      <alignment horizontal="right"/>
    </xf>
    <xf numFmtId="3" fontId="79" fillId="0" borderId="52" xfId="0" applyNumberFormat="1" applyFont="1" applyBorder="1" applyAlignment="1">
      <alignment horizontal="right"/>
    </xf>
    <xf numFmtId="3" fontId="87" fillId="7" borderId="5" xfId="0" applyNumberFormat="1" applyFont="1" applyFill="1" applyBorder="1" applyAlignment="1">
      <alignment horizontal="right"/>
    </xf>
    <xf numFmtId="3" fontId="79" fillId="0" borderId="62" xfId="0" applyNumberFormat="1" applyFont="1" applyBorder="1" applyAlignment="1">
      <alignment horizontal="right"/>
    </xf>
    <xf numFmtId="3" fontId="79" fillId="0" borderId="56" xfId="0" applyNumberFormat="1" applyFont="1" applyBorder="1" applyAlignment="1">
      <alignment horizontal="right"/>
    </xf>
    <xf numFmtId="3" fontId="79" fillId="0" borderId="64" xfId="0" applyNumberFormat="1" applyFont="1" applyBorder="1" applyAlignment="1">
      <alignment horizontal="right"/>
    </xf>
    <xf numFmtId="3" fontId="87" fillId="7" borderId="60" xfId="0" applyNumberFormat="1" applyFont="1" applyFill="1" applyBorder="1" applyAlignment="1">
      <alignment horizontal="right"/>
    </xf>
    <xf numFmtId="3" fontId="79" fillId="0" borderId="4" xfId="5" quotePrefix="1" applyNumberFormat="1" applyFont="1" applyBorder="1" applyAlignment="1">
      <alignment horizontal="right"/>
    </xf>
    <xf numFmtId="3" fontId="79" fillId="0" borderId="12" xfId="5" quotePrefix="1" applyNumberFormat="1" applyFont="1" applyBorder="1" applyAlignment="1">
      <alignment horizontal="right"/>
    </xf>
    <xf numFmtId="3" fontId="79" fillId="0" borderId="52" xfId="5" quotePrefix="1" applyNumberFormat="1" applyFont="1" applyBorder="1" applyAlignment="1">
      <alignment horizontal="right"/>
    </xf>
    <xf numFmtId="3" fontId="87" fillId="7" borderId="5" xfId="5" quotePrefix="1" applyNumberFormat="1" applyFont="1" applyFill="1" applyBorder="1" applyAlignment="1">
      <alignment horizontal="right"/>
    </xf>
    <xf numFmtId="3" fontId="79" fillId="0" borderId="6" xfId="0" applyNumberFormat="1" applyFont="1" applyBorder="1" applyAlignment="1">
      <alignment horizontal="right"/>
    </xf>
    <xf numFmtId="3" fontId="79" fillId="0" borderId="7" xfId="0" applyNumberFormat="1" applyFont="1" applyBorder="1" applyAlignment="1">
      <alignment horizontal="right"/>
    </xf>
    <xf numFmtId="3" fontId="79" fillId="4" borderId="53" xfId="5" applyNumberFormat="1" applyFont="1" applyFill="1" applyBorder="1" applyAlignment="1">
      <alignment horizontal="right"/>
    </xf>
    <xf numFmtId="3" fontId="107" fillId="7" borderId="4" xfId="5" applyNumberFormat="1" applyFont="1" applyFill="1" applyBorder="1" applyAlignment="1">
      <alignment horizontal="right"/>
    </xf>
    <xf numFmtId="3" fontId="107" fillId="7" borderId="12" xfId="5" applyNumberFormat="1" applyFont="1" applyFill="1" applyBorder="1" applyAlignment="1">
      <alignment horizontal="right"/>
    </xf>
    <xf numFmtId="3" fontId="107" fillId="7" borderId="52" xfId="5" applyNumberFormat="1" applyFont="1" applyFill="1" applyBorder="1" applyAlignment="1">
      <alignment horizontal="right"/>
    </xf>
    <xf numFmtId="3" fontId="79" fillId="7" borderId="53" xfId="5" applyNumberFormat="1" applyFont="1" applyFill="1" applyBorder="1" applyAlignment="1">
      <alignment horizontal="right"/>
    </xf>
    <xf numFmtId="3" fontId="79" fillId="0" borderId="5" xfId="0" applyNumberFormat="1" applyFont="1" applyBorder="1" applyAlignment="1">
      <alignment horizontal="right"/>
    </xf>
    <xf numFmtId="3" fontId="79" fillId="0" borderId="60" xfId="0" applyNumberFormat="1" applyFont="1" applyBorder="1" applyAlignment="1">
      <alignment horizontal="right"/>
    </xf>
    <xf numFmtId="3" fontId="79" fillId="4" borderId="15" xfId="5" applyNumberFormat="1" applyFont="1" applyFill="1" applyBorder="1" applyAlignment="1">
      <alignment horizontal="right"/>
    </xf>
    <xf numFmtId="3" fontId="87" fillId="7" borderId="6" xfId="0" applyNumberFormat="1" applyFont="1" applyFill="1" applyBorder="1" applyAlignment="1">
      <alignment horizontal="right"/>
    </xf>
    <xf numFmtId="3" fontId="87" fillId="7" borderId="7" xfId="0" applyNumberFormat="1" applyFont="1" applyFill="1" applyBorder="1" applyAlignment="1">
      <alignment horizontal="right"/>
    </xf>
    <xf numFmtId="3" fontId="80" fillId="0" borderId="26" xfId="0" applyNumberFormat="1" applyFont="1" applyBorder="1" applyAlignment="1">
      <alignment horizontal="right"/>
    </xf>
    <xf numFmtId="3" fontId="80" fillId="0" borderId="21" xfId="0" applyNumberFormat="1" applyFont="1" applyBorder="1" applyAlignment="1">
      <alignment horizontal="right"/>
    </xf>
    <xf numFmtId="3" fontId="79" fillId="4" borderId="21" xfId="5" applyNumberFormat="1" applyFont="1" applyFill="1" applyBorder="1" applyAlignment="1">
      <alignment horizontal="right"/>
    </xf>
    <xf numFmtId="3" fontId="90" fillId="7" borderId="26" xfId="0" applyNumberFormat="1" applyFont="1" applyFill="1" applyBorder="1" applyAlignment="1">
      <alignment horizontal="right"/>
    </xf>
    <xf numFmtId="3" fontId="90" fillId="7" borderId="21" xfId="0" applyNumberFormat="1" applyFont="1" applyFill="1" applyBorder="1" applyAlignment="1">
      <alignment horizontal="right"/>
    </xf>
    <xf numFmtId="3" fontId="90" fillId="7" borderId="6" xfId="0" applyNumberFormat="1" applyFont="1" applyFill="1" applyBorder="1" applyAlignment="1">
      <alignment horizontal="right"/>
    </xf>
    <xf numFmtId="3" fontId="90" fillId="7" borderId="53" xfId="0" applyNumberFormat="1" applyFont="1" applyFill="1" applyBorder="1" applyAlignment="1">
      <alignment horizontal="right"/>
    </xf>
    <xf numFmtId="3" fontId="80" fillId="0" borderId="6" xfId="0" applyNumberFormat="1" applyFont="1" applyBorder="1" applyAlignment="1">
      <alignment horizontal="right"/>
    </xf>
    <xf numFmtId="3" fontId="80" fillId="0" borderId="7" xfId="0" applyNumberFormat="1" applyFont="1" applyBorder="1" applyAlignment="1">
      <alignment horizontal="right"/>
    </xf>
    <xf numFmtId="3" fontId="80" fillId="0" borderId="9" xfId="0" applyNumberFormat="1" applyFont="1" applyBorder="1" applyAlignment="1">
      <alignment horizontal="right"/>
    </xf>
    <xf numFmtId="3" fontId="79" fillId="4" borderId="79" xfId="5" applyNumberFormat="1" applyFont="1" applyFill="1" applyBorder="1" applyAlignment="1">
      <alignment horizontal="right"/>
    </xf>
    <xf numFmtId="3" fontId="79" fillId="0" borderId="4" xfId="0" applyNumberFormat="1" applyFont="1" applyBorder="1"/>
    <xf numFmtId="3" fontId="79" fillId="4" borderId="62" xfId="5" applyNumberFormat="1" applyFont="1" applyFill="1" applyBorder="1" applyAlignment="1">
      <alignment horizontal="right"/>
    </xf>
    <xf numFmtId="3" fontId="79" fillId="4" borderId="61" xfId="5" applyNumberFormat="1" applyFont="1" applyFill="1" applyBorder="1" applyAlignment="1">
      <alignment horizontal="right"/>
    </xf>
    <xf numFmtId="3" fontId="87" fillId="7" borderId="5" xfId="0" applyNumberFormat="1" applyFont="1" applyFill="1" applyBorder="1"/>
    <xf numFmtId="3" fontId="87" fillId="7" borderId="60" xfId="0" applyNumberFormat="1" applyFont="1" applyFill="1" applyBorder="1"/>
    <xf numFmtId="3" fontId="87" fillId="7" borderId="7" xfId="0" applyNumberFormat="1" applyFont="1" applyFill="1" applyBorder="1"/>
    <xf numFmtId="3" fontId="87" fillId="7" borderId="0" xfId="5" applyNumberFormat="1" applyFont="1" applyFill="1" applyAlignment="1">
      <alignment horizontal="right"/>
    </xf>
    <xf numFmtId="3" fontId="80" fillId="6" borderId="68" xfId="5" applyNumberFormat="1" applyFont="1" applyFill="1" applyBorder="1" applyAlignment="1">
      <alignment horizontal="right"/>
    </xf>
    <xf numFmtId="3" fontId="80" fillId="6" borderId="69" xfId="5" applyNumberFormat="1" applyFont="1" applyFill="1" applyBorder="1" applyAlignment="1">
      <alignment horizontal="right"/>
    </xf>
    <xf numFmtId="3" fontId="79" fillId="6" borderId="69" xfId="5" applyNumberFormat="1" applyFont="1" applyFill="1" applyBorder="1" applyAlignment="1">
      <alignment horizontal="right"/>
    </xf>
    <xf numFmtId="3" fontId="80" fillId="6" borderId="26" xfId="5" applyNumberFormat="1" applyFont="1" applyFill="1" applyBorder="1" applyAlignment="1">
      <alignment horizontal="right"/>
    </xf>
    <xf numFmtId="3" fontId="80" fillId="6" borderId="22" xfId="5" applyNumberFormat="1" applyFont="1" applyFill="1" applyBorder="1" applyAlignment="1">
      <alignment horizontal="right"/>
    </xf>
    <xf numFmtId="3" fontId="80" fillId="6" borderId="52" xfId="5" applyNumberFormat="1" applyFont="1" applyFill="1" applyBorder="1" applyAlignment="1">
      <alignment horizontal="right"/>
    </xf>
    <xf numFmtId="3" fontId="80" fillId="6" borderId="64" xfId="5" applyNumberFormat="1" applyFont="1" applyFill="1" applyBorder="1" applyAlignment="1">
      <alignment horizontal="right"/>
    </xf>
    <xf numFmtId="3" fontId="90" fillId="7" borderId="5" xfId="5" applyNumberFormat="1" applyFont="1" applyFill="1" applyBorder="1" applyAlignment="1">
      <alignment horizontal="right"/>
    </xf>
    <xf numFmtId="3" fontId="90" fillId="7" borderId="60" xfId="5" applyNumberFormat="1" applyFont="1" applyFill="1" applyBorder="1" applyAlignment="1">
      <alignment horizontal="right"/>
    </xf>
    <xf numFmtId="3" fontId="80" fillId="0" borderId="12" xfId="5" applyNumberFormat="1" applyFont="1" applyBorder="1" applyAlignment="1">
      <alignment horizontal="right"/>
    </xf>
    <xf numFmtId="3" fontId="80" fillId="0" borderId="56" xfId="5" applyNumberFormat="1" applyFont="1" applyBorder="1" applyAlignment="1">
      <alignment horizontal="right"/>
    </xf>
    <xf numFmtId="3" fontId="79" fillId="0" borderId="9" xfId="0" applyNumberFormat="1" applyFont="1" applyBorder="1" applyAlignment="1">
      <alignment horizontal="right"/>
    </xf>
    <xf numFmtId="3" fontId="79" fillId="0" borderId="61" xfId="0" applyNumberFormat="1" applyFont="1" applyBorder="1" applyAlignment="1">
      <alignment horizontal="right"/>
    </xf>
    <xf numFmtId="3" fontId="79" fillId="4" borderId="56" xfId="5" applyNumberFormat="1" applyFont="1" applyFill="1" applyBorder="1" applyAlignment="1">
      <alignment horizontal="right"/>
    </xf>
    <xf numFmtId="3" fontId="79" fillId="0" borderId="79" xfId="0" applyNumberFormat="1" applyFont="1" applyBorder="1" applyAlignment="1">
      <alignment horizontal="right"/>
    </xf>
    <xf numFmtId="3" fontId="79" fillId="0" borderId="12" xfId="5" applyNumberFormat="1" applyFont="1" applyBorder="1" applyAlignment="1">
      <alignment horizontal="center" vertical="center" wrapText="1"/>
    </xf>
    <xf numFmtId="3" fontId="79" fillId="0" borderId="12" xfId="5" applyNumberFormat="1" applyFont="1" applyBorder="1" applyAlignment="1">
      <alignment horizontal="center"/>
    </xf>
    <xf numFmtId="3" fontId="79" fillId="0" borderId="12" xfId="5" applyNumberFormat="1" applyFont="1" applyBorder="1"/>
    <xf numFmtId="3" fontId="79" fillId="0" borderId="52" xfId="5" applyNumberFormat="1" applyFont="1" applyBorder="1" applyAlignment="1">
      <alignment horizontal="center"/>
    </xf>
    <xf numFmtId="3" fontId="79" fillId="0" borderId="52" xfId="5" applyNumberFormat="1" applyFont="1" applyBorder="1"/>
    <xf numFmtId="3" fontId="87" fillId="7" borderId="5" xfId="5" applyNumberFormat="1" applyFont="1" applyFill="1" applyBorder="1" applyAlignment="1">
      <alignment horizontal="center"/>
    </xf>
    <xf numFmtId="3" fontId="79" fillId="0" borderId="4" xfId="5" applyNumberFormat="1" applyFont="1" applyBorder="1" applyAlignment="1">
      <alignment horizontal="center" vertical="center" wrapText="1"/>
    </xf>
    <xf numFmtId="3" fontId="87" fillId="7" borderId="52" xfId="0" applyNumberFormat="1" applyFont="1" applyFill="1" applyBorder="1" applyAlignment="1">
      <alignment horizontal="right"/>
    </xf>
    <xf numFmtId="3" fontId="87" fillId="7" borderId="64" xfId="0" applyNumberFormat="1" applyFont="1" applyFill="1" applyBorder="1" applyAlignment="1">
      <alignment horizontal="right"/>
    </xf>
    <xf numFmtId="3" fontId="79" fillId="3" borderId="22" xfId="5" applyNumberFormat="1" applyFont="1" applyFill="1" applyBorder="1" applyAlignment="1">
      <alignment horizontal="right"/>
    </xf>
    <xf numFmtId="3" fontId="80" fillId="3" borderId="22" xfId="0" applyNumberFormat="1" applyFont="1" applyFill="1" applyBorder="1" applyAlignment="1">
      <alignment horizontal="right"/>
    </xf>
    <xf numFmtId="3" fontId="80" fillId="3" borderId="70" xfId="0" applyNumberFormat="1" applyFont="1" applyFill="1" applyBorder="1" applyAlignment="1">
      <alignment horizontal="right"/>
    </xf>
    <xf numFmtId="3" fontId="80" fillId="0" borderId="22" xfId="0" applyNumberFormat="1" applyFont="1" applyBorder="1" applyAlignment="1">
      <alignment horizontal="right"/>
    </xf>
    <xf numFmtId="3" fontId="80" fillId="4" borderId="9" xfId="0" applyNumberFormat="1" applyFont="1" applyFill="1" applyBorder="1"/>
    <xf numFmtId="3" fontId="79" fillId="4" borderId="43" xfId="0" applyNumberFormat="1" applyFont="1" applyFill="1" applyBorder="1"/>
    <xf numFmtId="3" fontId="79" fillId="4" borderId="55" xfId="0" applyNumberFormat="1" applyFont="1" applyFill="1" applyBorder="1"/>
    <xf numFmtId="49" fontId="87" fillId="7" borderId="19" xfId="0" applyNumberFormat="1" applyFont="1" applyFill="1" applyBorder="1" applyAlignment="1">
      <alignment horizontal="center" vertical="center"/>
    </xf>
    <xf numFmtId="49" fontId="79" fillId="7" borderId="8" xfId="0" applyNumberFormat="1" applyFont="1" applyFill="1" applyBorder="1" applyAlignment="1">
      <alignment horizontal="center" vertical="center"/>
    </xf>
    <xf numFmtId="0" fontId="79" fillId="7" borderId="9" xfId="0" applyFont="1" applyFill="1" applyBorder="1" applyAlignment="1">
      <alignment wrapText="1"/>
    </xf>
    <xf numFmtId="3" fontId="79" fillId="7" borderId="9" xfId="5" applyNumberFormat="1" applyFont="1" applyFill="1" applyBorder="1" applyAlignment="1">
      <alignment horizontal="right"/>
    </xf>
    <xf numFmtId="3" fontId="79" fillId="7" borderId="10" xfId="5" applyNumberFormat="1" applyFont="1" applyFill="1" applyBorder="1" applyAlignment="1">
      <alignment horizontal="right"/>
    </xf>
    <xf numFmtId="3" fontId="80" fillId="5" borderId="76" xfId="5" applyNumberFormat="1" applyFont="1" applyFill="1" applyBorder="1" applyAlignment="1">
      <alignment horizontal="right" vertical="center"/>
    </xf>
    <xf numFmtId="3" fontId="42" fillId="0" borderId="9" xfId="0" applyNumberFormat="1" applyFont="1" applyBorder="1"/>
    <xf numFmtId="3" fontId="42" fillId="0" borderId="79" xfId="0" applyNumberFormat="1" applyFont="1" applyBorder="1"/>
    <xf numFmtId="3" fontId="49" fillId="0" borderId="4" xfId="5" applyNumberFormat="1" applyFont="1" applyBorder="1" applyAlignment="1">
      <alignment horizontal="center" wrapText="1"/>
    </xf>
    <xf numFmtId="3" fontId="49" fillId="4" borderId="62" xfId="5" applyNumberFormat="1" applyFont="1" applyFill="1" applyBorder="1" applyAlignment="1">
      <alignment horizontal="right"/>
    </xf>
    <xf numFmtId="3" fontId="49" fillId="4" borderId="56" xfId="5" applyNumberFormat="1" applyFont="1" applyFill="1" applyBorder="1" applyAlignment="1">
      <alignment horizontal="right"/>
    </xf>
    <xf numFmtId="3" fontId="49" fillId="0" borderId="52" xfId="5" applyNumberFormat="1" applyFont="1" applyBorder="1" applyAlignment="1">
      <alignment horizontal="center" wrapText="1"/>
    </xf>
    <xf numFmtId="3" fontId="49" fillId="4" borderId="64" xfId="5" applyNumberFormat="1" applyFont="1" applyFill="1" applyBorder="1" applyAlignment="1">
      <alignment horizontal="right"/>
    </xf>
    <xf numFmtId="3" fontId="85" fillId="7" borderId="5" xfId="5" applyNumberFormat="1" applyFont="1" applyFill="1" applyBorder="1" applyAlignment="1">
      <alignment horizontal="center" wrapText="1"/>
    </xf>
    <xf numFmtId="3" fontId="49" fillId="0" borderId="43" xfId="5" applyNumberFormat="1" applyFont="1" applyBorder="1" applyAlignment="1">
      <alignment horizontal="center" wrapText="1"/>
    </xf>
    <xf numFmtId="3" fontId="49" fillId="4" borderId="61" xfId="5" applyNumberFormat="1" applyFont="1" applyFill="1" applyBorder="1" applyAlignment="1">
      <alignment horizontal="right"/>
    </xf>
    <xf numFmtId="3" fontId="49" fillId="4" borderId="40" xfId="5" applyNumberFormat="1" applyFont="1" applyFill="1" applyBorder="1" applyAlignment="1">
      <alignment horizontal="right"/>
    </xf>
    <xf numFmtId="3" fontId="49" fillId="0" borderId="6" xfId="5" applyNumberFormat="1" applyFont="1" applyBorder="1" applyAlignment="1">
      <alignment horizontal="center" wrapText="1"/>
    </xf>
    <xf numFmtId="3" fontId="49" fillId="4" borderId="7" xfId="5" applyNumberFormat="1" applyFont="1" applyFill="1" applyBorder="1" applyAlignment="1">
      <alignment horizontal="right"/>
    </xf>
    <xf numFmtId="3" fontId="49" fillId="0" borderId="4" xfId="5" applyNumberFormat="1" applyFont="1" applyBorder="1" applyAlignment="1">
      <alignment horizontal="right"/>
    </xf>
    <xf numFmtId="3" fontId="49" fillId="0" borderId="4" xfId="0" applyNumberFormat="1" applyFont="1" applyBorder="1" applyAlignment="1">
      <alignment horizontal="right"/>
    </xf>
    <xf numFmtId="3" fontId="49" fillId="0" borderId="12" xfId="5" applyNumberFormat="1" applyFont="1" applyBorder="1" applyAlignment="1">
      <alignment horizontal="right"/>
    </xf>
    <xf numFmtId="3" fontId="49" fillId="0" borderId="12" xfId="0" applyNumberFormat="1" applyFont="1" applyBorder="1" applyAlignment="1">
      <alignment horizontal="right"/>
    </xf>
    <xf numFmtId="3" fontId="49" fillId="0" borderId="52" xfId="5" applyNumberFormat="1" applyFont="1" applyBorder="1" applyAlignment="1">
      <alignment horizontal="right"/>
    </xf>
    <xf numFmtId="3" fontId="49" fillId="0" borderId="52" xfId="0" applyNumberFormat="1" applyFont="1" applyBorder="1" applyAlignment="1">
      <alignment horizontal="right"/>
    </xf>
    <xf numFmtId="3" fontId="49" fillId="0" borderId="4" xfId="5" quotePrefix="1" applyNumberFormat="1" applyFont="1" applyBorder="1" applyAlignment="1">
      <alignment horizontal="right"/>
    </xf>
    <xf numFmtId="3" fontId="49" fillId="0" borderId="12" xfId="5" quotePrefix="1" applyNumberFormat="1" applyFont="1" applyBorder="1" applyAlignment="1">
      <alignment horizontal="right"/>
    </xf>
    <xf numFmtId="3" fontId="49" fillId="0" borderId="52" xfId="5" quotePrefix="1" applyNumberFormat="1" applyFont="1" applyBorder="1" applyAlignment="1">
      <alignment horizontal="right"/>
    </xf>
    <xf numFmtId="3" fontId="49" fillId="0" borderId="6" xfId="5" applyNumberFormat="1" applyFont="1" applyBorder="1" applyAlignment="1">
      <alignment horizontal="right"/>
    </xf>
    <xf numFmtId="3" fontId="49" fillId="0" borderId="6" xfId="0" applyNumberFormat="1" applyFont="1" applyBorder="1" applyAlignment="1">
      <alignment horizontal="right"/>
    </xf>
    <xf numFmtId="3" fontId="49" fillId="4" borderId="53" xfId="5" applyNumberFormat="1" applyFont="1" applyFill="1" applyBorder="1" applyAlignment="1">
      <alignment horizontal="right"/>
    </xf>
    <xf numFmtId="3" fontId="49" fillId="0" borderId="9" xfId="5" applyNumberFormat="1" applyFont="1" applyBorder="1" applyAlignment="1">
      <alignment horizontal="right"/>
    </xf>
    <xf numFmtId="3" fontId="49" fillId="0" borderId="9" xfId="0" applyNumberFormat="1" applyFont="1" applyBorder="1" applyAlignment="1">
      <alignment horizontal="right"/>
    </xf>
    <xf numFmtId="3" fontId="49" fillId="7" borderId="10" xfId="5" applyNumberFormat="1" applyFont="1" applyFill="1" applyBorder="1" applyAlignment="1">
      <alignment horizontal="right"/>
    </xf>
    <xf numFmtId="3" fontId="49" fillId="0" borderId="5" xfId="5" applyNumberFormat="1" applyFont="1" applyBorder="1" applyAlignment="1">
      <alignment horizontal="right"/>
    </xf>
    <xf numFmtId="3" fontId="49" fillId="0" borderId="5" xfId="0" applyNumberFormat="1" applyFont="1" applyBorder="1" applyAlignment="1">
      <alignment horizontal="right"/>
    </xf>
    <xf numFmtId="3" fontId="49" fillId="4" borderId="60" xfId="5" applyNumberFormat="1" applyFont="1" applyFill="1" applyBorder="1" applyAlignment="1">
      <alignment horizontal="right"/>
    </xf>
    <xf numFmtId="3" fontId="49" fillId="0" borderId="65" xfId="5" applyNumberFormat="1" applyFont="1" applyBorder="1" applyAlignment="1">
      <alignment horizontal="right"/>
    </xf>
    <xf numFmtId="3" fontId="85" fillId="7" borderId="52" xfId="5" applyNumberFormat="1" applyFont="1" applyFill="1" applyBorder="1" applyAlignment="1">
      <alignment horizontal="right"/>
    </xf>
    <xf numFmtId="3" fontId="85" fillId="7" borderId="52" xfId="0" applyNumberFormat="1" applyFont="1" applyFill="1" applyBorder="1" applyAlignment="1">
      <alignment horizontal="right"/>
    </xf>
    <xf numFmtId="3" fontId="9" fillId="0" borderId="23" xfId="0" applyNumberFormat="1" applyFont="1" applyBorder="1"/>
    <xf numFmtId="3" fontId="4" fillId="0" borderId="20" xfId="0" applyNumberFormat="1" applyFont="1" applyBorder="1"/>
    <xf numFmtId="3" fontId="4" fillId="0" borderId="4" xfId="0" applyNumberFormat="1" applyFont="1" applyBorder="1"/>
    <xf numFmtId="3" fontId="9" fillId="0" borderId="53" xfId="0" applyNumberFormat="1" applyFont="1" applyBorder="1"/>
    <xf numFmtId="3" fontId="12" fillId="0" borderId="43" xfId="0" applyNumberFormat="1" applyFont="1" applyBorder="1"/>
    <xf numFmtId="3" fontId="12" fillId="0" borderId="4" xfId="0" applyNumberFormat="1" applyFont="1" applyBorder="1" applyAlignment="1">
      <alignment horizontal="left"/>
    </xf>
    <xf numFmtId="3" fontId="12" fillId="0" borderId="12" xfId="0" applyNumberFormat="1" applyFont="1" applyBorder="1" applyAlignment="1">
      <alignment horizontal="left"/>
    </xf>
    <xf numFmtId="3" fontId="5" fillId="0" borderId="26" xfId="0" applyNumberFormat="1" applyFont="1" applyBorder="1"/>
    <xf numFmtId="0" fontId="12" fillId="0" borderId="64" xfId="0" applyFont="1" applyBorder="1"/>
    <xf numFmtId="0" fontId="4" fillId="0" borderId="48" xfId="0" applyFont="1" applyBorder="1"/>
    <xf numFmtId="0" fontId="12" fillId="0" borderId="36" xfId="0" applyFont="1" applyBorder="1"/>
    <xf numFmtId="0" fontId="4" fillId="0" borderId="33" xfId="0" applyFont="1" applyBorder="1" applyAlignment="1">
      <alignment horizontal="right"/>
    </xf>
    <xf numFmtId="0" fontId="127" fillId="0" borderId="31" xfId="0" applyFont="1" applyBorder="1" applyAlignment="1">
      <alignment horizontal="left" wrapText="1"/>
    </xf>
    <xf numFmtId="0" fontId="4" fillId="0" borderId="78" xfId="0" applyFont="1" applyBorder="1" applyAlignment="1">
      <alignment horizontal="right"/>
    </xf>
    <xf numFmtId="3" fontId="12" fillId="0" borderId="68" xfId="0" applyNumberFormat="1" applyFont="1" applyBorder="1" applyAlignment="1">
      <alignment horizontal="left"/>
    </xf>
    <xf numFmtId="3" fontId="12" fillId="0" borderId="13" xfId="0" applyNumberFormat="1" applyFont="1" applyBorder="1" applyAlignment="1">
      <alignment horizontal="left"/>
    </xf>
    <xf numFmtId="3" fontId="127" fillId="0" borderId="22" xfId="0" applyNumberFormat="1" applyFont="1" applyBorder="1" applyAlignment="1">
      <alignment horizontal="right"/>
    </xf>
    <xf numFmtId="0" fontId="4" fillId="0" borderId="27" xfId="0" applyFont="1" applyBorder="1" applyAlignment="1">
      <alignment horizontal="left"/>
    </xf>
    <xf numFmtId="3" fontId="56" fillId="0" borderId="0" xfId="0" applyNumberFormat="1" applyFont="1" applyAlignment="1">
      <alignment horizontal="right" wrapText="1"/>
    </xf>
    <xf numFmtId="3" fontId="56" fillId="0" borderId="0" xfId="0" applyNumberFormat="1" applyFont="1"/>
    <xf numFmtId="3" fontId="56" fillId="0" borderId="36" xfId="0" applyNumberFormat="1" applyFont="1" applyBorder="1"/>
    <xf numFmtId="3" fontId="51" fillId="0" borderId="30" xfId="0" applyNumberFormat="1" applyFont="1" applyBorder="1" applyAlignment="1">
      <alignment horizontal="center"/>
    </xf>
    <xf numFmtId="3" fontId="51" fillId="0" borderId="36" xfId="0" applyNumberFormat="1" applyFont="1" applyBorder="1" applyAlignment="1">
      <alignment horizontal="center"/>
    </xf>
    <xf numFmtId="3" fontId="83" fillId="0" borderId="36" xfId="0" applyNumberFormat="1" applyFont="1" applyBorder="1" applyAlignment="1">
      <alignment horizontal="center"/>
    </xf>
    <xf numFmtId="3" fontId="56" fillId="0" borderId="0" xfId="0" applyNumberFormat="1" applyFont="1" applyAlignment="1">
      <alignment horizontal="left" wrapText="1"/>
    </xf>
    <xf numFmtId="3" fontId="56" fillId="0" borderId="0" xfId="0" applyNumberFormat="1" applyFont="1" applyAlignment="1">
      <alignment horizontal="left"/>
    </xf>
    <xf numFmtId="0" fontId="127" fillId="0" borderId="0" xfId="0" applyFont="1"/>
    <xf numFmtId="3" fontId="56" fillId="0" borderId="36" xfId="0" applyNumberFormat="1" applyFont="1" applyBorder="1" applyAlignment="1">
      <alignment horizontal="right" wrapText="1"/>
    </xf>
    <xf numFmtId="3" fontId="51" fillId="0" borderId="36" xfId="0" applyNumberFormat="1" applyFont="1" applyBorder="1" applyAlignment="1">
      <alignment horizontal="right"/>
    </xf>
    <xf numFmtId="3" fontId="39" fillId="0" borderId="15" xfId="5" applyNumberFormat="1" applyFont="1" applyBorder="1" applyAlignment="1">
      <alignment horizontal="right"/>
    </xf>
    <xf numFmtId="3" fontId="88" fillId="7" borderId="15" xfId="5" applyNumberFormat="1" applyFont="1" applyFill="1" applyBorder="1" applyAlignment="1">
      <alignment horizontal="right"/>
    </xf>
    <xf numFmtId="0" fontId="126" fillId="0" borderId="20" xfId="0" applyFont="1" applyBorder="1"/>
    <xf numFmtId="49" fontId="124" fillId="0" borderId="16" xfId="0" applyNumberFormat="1" applyFont="1" applyBorder="1" applyAlignment="1">
      <alignment horizontal="center" vertical="center" wrapText="1"/>
    </xf>
    <xf numFmtId="0" fontId="124" fillId="0" borderId="4" xfId="0" applyFont="1" applyBorder="1" applyAlignment="1">
      <alignment horizontal="center" vertical="center"/>
    </xf>
    <xf numFmtId="164" fontId="124" fillId="0" borderId="4" xfId="5" applyNumberFormat="1" applyFont="1" applyBorder="1" applyAlignment="1">
      <alignment horizontal="center" vertical="center" wrapText="1"/>
    </xf>
    <xf numFmtId="164" fontId="124" fillId="0" borderId="23" xfId="5" applyNumberFormat="1" applyFont="1" applyBorder="1" applyAlignment="1">
      <alignment horizontal="center" vertical="center"/>
    </xf>
    <xf numFmtId="0" fontId="124" fillId="0" borderId="28" xfId="0" applyFont="1" applyBorder="1" applyAlignment="1">
      <alignment wrapText="1"/>
    </xf>
    <xf numFmtId="3" fontId="125" fillId="0" borderId="5" xfId="5" applyNumberFormat="1" applyFont="1" applyBorder="1" applyAlignment="1">
      <alignment horizontal="right"/>
    </xf>
    <xf numFmtId="3" fontId="125" fillId="0" borderId="15" xfId="5" applyNumberFormat="1" applyFont="1" applyBorder="1" applyAlignment="1">
      <alignment horizontal="right"/>
    </xf>
    <xf numFmtId="0" fontId="125" fillId="0" borderId="65" xfId="0" applyFont="1" applyBorder="1" applyAlignment="1">
      <alignment wrapText="1"/>
    </xf>
    <xf numFmtId="3" fontId="125" fillId="0" borderId="12" xfId="5" applyNumberFormat="1" applyFont="1" applyBorder="1" applyAlignment="1">
      <alignment horizontal="right"/>
    </xf>
    <xf numFmtId="3" fontId="125" fillId="3" borderId="13" xfId="5" applyNumberFormat="1" applyFont="1" applyFill="1" applyBorder="1" applyAlignment="1">
      <alignment horizontal="right"/>
    </xf>
    <xf numFmtId="49" fontId="125" fillId="0" borderId="14" xfId="0" applyNumberFormat="1" applyFont="1" applyBorder="1" applyAlignment="1">
      <alignment horizontal="center"/>
    </xf>
    <xf numFmtId="0" fontId="125" fillId="0" borderId="28" xfId="0" applyFont="1" applyBorder="1" applyAlignment="1">
      <alignment wrapText="1"/>
    </xf>
    <xf numFmtId="3" fontId="125" fillId="3" borderId="15" xfId="5" applyNumberFormat="1" applyFont="1" applyFill="1" applyBorder="1" applyAlignment="1">
      <alignment horizontal="right"/>
    </xf>
    <xf numFmtId="49" fontId="125" fillId="7" borderId="11" xfId="0" applyNumberFormat="1" applyFont="1" applyFill="1" applyBorder="1" applyAlignment="1">
      <alignment horizontal="center"/>
    </xf>
    <xf numFmtId="0" fontId="125" fillId="7" borderId="65" xfId="0" applyFont="1" applyFill="1" applyBorder="1" applyAlignment="1">
      <alignment wrapText="1"/>
    </xf>
    <xf numFmtId="3" fontId="125" fillId="7" borderId="12" xfId="5" applyNumberFormat="1" applyFont="1" applyFill="1" applyBorder="1" applyAlignment="1">
      <alignment horizontal="right"/>
    </xf>
    <xf numFmtId="3" fontId="125" fillId="7" borderId="13" xfId="5" applyNumberFormat="1" applyFont="1" applyFill="1" applyBorder="1" applyAlignment="1">
      <alignment horizontal="right"/>
    </xf>
    <xf numFmtId="49" fontId="125" fillId="0" borderId="16" xfId="0" applyNumberFormat="1" applyFont="1" applyBorder="1" applyAlignment="1">
      <alignment horizontal="center"/>
    </xf>
    <xf numFmtId="3" fontId="125" fillId="0" borderId="6" xfId="5" applyNumberFormat="1" applyFont="1" applyBorder="1" applyAlignment="1">
      <alignment horizontal="right"/>
    </xf>
    <xf numFmtId="3" fontId="125" fillId="0" borderId="4" xfId="5" applyNumberFormat="1" applyFont="1" applyBorder="1" applyAlignment="1">
      <alignment horizontal="right"/>
    </xf>
    <xf numFmtId="0" fontId="125" fillId="7" borderId="28" xfId="0" applyFont="1" applyFill="1" applyBorder="1" applyAlignment="1">
      <alignment wrapText="1"/>
    </xf>
    <xf numFmtId="3" fontId="125" fillId="7" borderId="6" xfId="5" applyNumberFormat="1" applyFont="1" applyFill="1" applyBorder="1" applyAlignment="1">
      <alignment horizontal="right"/>
    </xf>
    <xf numFmtId="3" fontId="125" fillId="7" borderId="15" xfId="5" applyNumberFormat="1" applyFont="1" applyFill="1" applyBorder="1" applyAlignment="1">
      <alignment horizontal="right"/>
    </xf>
    <xf numFmtId="3" fontId="133" fillId="0" borderId="26" xfId="0" applyNumberFormat="1" applyFont="1" applyBorder="1" applyAlignment="1">
      <alignment horizontal="right"/>
    </xf>
    <xf numFmtId="3" fontId="125" fillId="0" borderId="22" xfId="5" applyNumberFormat="1" applyFont="1" applyBorder="1" applyAlignment="1">
      <alignment horizontal="right"/>
    </xf>
    <xf numFmtId="1" fontId="126" fillId="0" borderId="0" xfId="0" applyNumberFormat="1" applyFont="1"/>
    <xf numFmtId="49" fontId="133" fillId="3" borderId="31" xfId="0" applyNumberFormat="1" applyFont="1" applyFill="1" applyBorder="1" applyAlignment="1">
      <alignment wrapText="1"/>
    </xf>
    <xf numFmtId="0" fontId="125" fillId="3" borderId="26" xfId="0" applyFont="1" applyFill="1" applyBorder="1" applyAlignment="1">
      <alignment wrapText="1"/>
    </xf>
    <xf numFmtId="3" fontId="133" fillId="3" borderId="52" xfId="0" applyNumberFormat="1" applyFont="1" applyFill="1" applyBorder="1" applyAlignment="1">
      <alignment horizontal="right"/>
    </xf>
    <xf numFmtId="49" fontId="133" fillId="3" borderId="27" xfId="0" applyNumberFormat="1" applyFont="1" applyFill="1" applyBorder="1" applyAlignment="1">
      <alignment wrapText="1"/>
    </xf>
    <xf numFmtId="0" fontId="125" fillId="3" borderId="28" xfId="0" applyFont="1" applyFill="1" applyBorder="1" applyAlignment="1">
      <alignment wrapText="1"/>
    </xf>
    <xf numFmtId="1" fontId="133" fillId="3" borderId="5" xfId="0" applyNumberFormat="1" applyFont="1" applyFill="1" applyBorder="1" applyAlignment="1">
      <alignment horizontal="right"/>
    </xf>
    <xf numFmtId="1" fontId="133" fillId="3" borderId="15" xfId="0" applyNumberFormat="1" applyFont="1" applyFill="1" applyBorder="1" applyAlignment="1">
      <alignment horizontal="right"/>
    </xf>
    <xf numFmtId="49" fontId="133" fillId="7" borderId="49" xfId="0" applyNumberFormat="1" applyFont="1" applyFill="1" applyBorder="1" applyAlignment="1">
      <alignment wrapText="1"/>
    </xf>
    <xf numFmtId="0" fontId="125" fillId="7" borderId="29" xfId="0" applyFont="1" applyFill="1" applyBorder="1" applyAlignment="1">
      <alignment wrapText="1"/>
    </xf>
    <xf numFmtId="1" fontId="133" fillId="7" borderId="4" xfId="0" applyNumberFormat="1" applyFont="1" applyFill="1" applyBorder="1" applyAlignment="1">
      <alignment horizontal="right"/>
    </xf>
    <xf numFmtId="1" fontId="133" fillId="7" borderId="23" xfId="0" applyNumberFormat="1" applyFont="1" applyFill="1" applyBorder="1" applyAlignment="1">
      <alignment horizontal="right"/>
    </xf>
    <xf numFmtId="1" fontId="126" fillId="7" borderId="0" xfId="0" applyNumberFormat="1" applyFont="1" applyFill="1"/>
    <xf numFmtId="49" fontId="133" fillId="7" borderId="78" xfId="0" applyNumberFormat="1" applyFont="1" applyFill="1" applyBorder="1" applyAlignment="1">
      <alignment wrapText="1"/>
    </xf>
    <xf numFmtId="0" fontId="125" fillId="7" borderId="66" xfId="0" applyFont="1" applyFill="1" applyBorder="1" applyAlignment="1">
      <alignment wrapText="1"/>
    </xf>
    <xf numFmtId="10" fontId="133" fillId="7" borderId="12" xfId="0" applyNumberFormat="1" applyFont="1" applyFill="1" applyBorder="1" applyAlignment="1">
      <alignment horizontal="right"/>
    </xf>
    <xf numFmtId="10" fontId="133" fillId="7" borderId="13" xfId="0" applyNumberFormat="1" applyFont="1" applyFill="1" applyBorder="1" applyAlignment="1">
      <alignment horizontal="right"/>
    </xf>
    <xf numFmtId="0" fontId="126" fillId="7" borderId="50" xfId="0" applyFont="1" applyFill="1" applyBorder="1"/>
    <xf numFmtId="1" fontId="126" fillId="0" borderId="20" xfId="0" applyNumberFormat="1" applyFont="1" applyBorder="1"/>
    <xf numFmtId="1" fontId="124" fillId="0" borderId="4" xfId="5" applyNumberFormat="1" applyFont="1" applyBorder="1" applyAlignment="1">
      <alignment horizontal="center" vertical="center" wrapText="1"/>
    </xf>
    <xf numFmtId="1" fontId="124" fillId="0" borderId="23" xfId="5" applyNumberFormat="1" applyFont="1" applyBorder="1" applyAlignment="1">
      <alignment horizontal="center" vertical="center"/>
    </xf>
    <xf numFmtId="49" fontId="124" fillId="0" borderId="14" xfId="0" applyNumberFormat="1" applyFont="1" applyBorder="1" applyAlignment="1">
      <alignment horizontal="center" vertical="center" wrapText="1"/>
    </xf>
    <xf numFmtId="0" fontId="124" fillId="0" borderId="28" xfId="0" applyFont="1" applyBorder="1" applyAlignment="1">
      <alignment horizontal="left" vertical="center"/>
    </xf>
    <xf numFmtId="3" fontId="125" fillId="0" borderId="5" xfId="5" applyNumberFormat="1" applyFont="1" applyBorder="1" applyAlignment="1">
      <alignment horizontal="right" vertical="center" wrapText="1"/>
    </xf>
    <xf numFmtId="3" fontId="125" fillId="0" borderId="15" xfId="5" applyNumberFormat="1" applyFont="1" applyBorder="1" applyAlignment="1">
      <alignment horizontal="right" vertical="center"/>
    </xf>
    <xf numFmtId="49" fontId="125" fillId="0" borderId="11" xfId="0" applyNumberFormat="1" applyFont="1" applyBorder="1" applyAlignment="1">
      <alignment horizontal="center" vertical="center" wrapText="1"/>
    </xf>
    <xf numFmtId="3" fontId="125" fillId="0" borderId="12" xfId="5" applyNumberFormat="1" applyFont="1" applyBorder="1" applyAlignment="1">
      <alignment horizontal="right" vertical="center" wrapText="1"/>
    </xf>
    <xf numFmtId="3" fontId="125" fillId="8" borderId="13" xfId="5" applyNumberFormat="1" applyFont="1" applyFill="1" applyBorder="1" applyAlignment="1">
      <alignment horizontal="right" vertical="center"/>
    </xf>
    <xf numFmtId="49" fontId="125" fillId="0" borderId="14" xfId="0" applyNumberFormat="1" applyFont="1" applyBorder="1" applyAlignment="1">
      <alignment horizontal="center" vertical="center" wrapText="1"/>
    </xf>
    <xf numFmtId="3" fontId="125" fillId="8" borderId="15" xfId="5" applyNumberFormat="1" applyFont="1" applyFill="1" applyBorder="1" applyAlignment="1">
      <alignment horizontal="right" vertical="center"/>
    </xf>
    <xf numFmtId="49" fontId="125" fillId="7" borderId="11" xfId="0" applyNumberFormat="1" applyFont="1" applyFill="1" applyBorder="1" applyAlignment="1">
      <alignment horizontal="center" vertical="center" wrapText="1"/>
    </xf>
    <xf numFmtId="3" fontId="125" fillId="7" borderId="12" xfId="5" applyNumberFormat="1" applyFont="1" applyFill="1" applyBorder="1" applyAlignment="1">
      <alignment horizontal="right" vertical="center" wrapText="1"/>
    </xf>
    <xf numFmtId="3" fontId="125" fillId="8" borderId="15" xfId="5" applyNumberFormat="1" applyFont="1" applyFill="1" applyBorder="1" applyAlignment="1">
      <alignment horizontal="right"/>
    </xf>
    <xf numFmtId="3" fontId="125" fillId="8" borderId="13" xfId="5" applyNumberFormat="1" applyFont="1" applyFill="1" applyBorder="1" applyAlignment="1">
      <alignment horizontal="right"/>
    </xf>
    <xf numFmtId="49" fontId="125" fillId="0" borderId="19" xfId="0" applyNumberFormat="1" applyFont="1" applyBorder="1" applyAlignment="1">
      <alignment horizontal="center"/>
    </xf>
    <xf numFmtId="3" fontId="125" fillId="3" borderId="15" xfId="5" applyNumberFormat="1" applyFont="1" applyFill="1" applyBorder="1" applyAlignment="1">
      <alignment horizontal="right" vertical="center"/>
    </xf>
    <xf numFmtId="3" fontId="125" fillId="7" borderId="15" xfId="5" applyNumberFormat="1" applyFont="1" applyFill="1" applyBorder="1" applyAlignment="1">
      <alignment horizontal="right" vertical="center"/>
    </xf>
    <xf numFmtId="3" fontId="125" fillId="0" borderId="22" xfId="5" applyNumberFormat="1" applyFont="1" applyBorder="1" applyAlignment="1">
      <alignment horizontal="right" vertical="center"/>
    </xf>
    <xf numFmtId="49" fontId="133" fillId="3" borderId="67" xfId="0" applyNumberFormat="1" applyFont="1" applyFill="1" applyBorder="1" applyAlignment="1">
      <alignment wrapText="1"/>
    </xf>
    <xf numFmtId="0" fontId="125" fillId="3" borderId="68" xfId="0" applyFont="1" applyFill="1" applyBorder="1" applyAlignment="1">
      <alignment wrapText="1"/>
    </xf>
    <xf numFmtId="3" fontId="133" fillId="3" borderId="0" xfId="0" applyNumberFormat="1" applyFont="1" applyFill="1" applyAlignment="1">
      <alignment horizontal="right"/>
    </xf>
    <xf numFmtId="3" fontId="133" fillId="3" borderId="20" xfId="0" applyNumberFormat="1" applyFont="1" applyFill="1" applyBorder="1" applyAlignment="1">
      <alignment horizontal="right"/>
    </xf>
    <xf numFmtId="49" fontId="133" fillId="3" borderId="29" xfId="0" applyNumberFormat="1" applyFont="1" applyFill="1" applyBorder="1" applyAlignment="1">
      <alignment wrapText="1"/>
    </xf>
    <xf numFmtId="0" fontId="125" fillId="3" borderId="4" xfId="0" applyFont="1" applyFill="1" applyBorder="1" applyAlignment="1">
      <alignment wrapText="1"/>
    </xf>
    <xf numFmtId="1" fontId="133" fillId="3" borderId="4" xfId="0" applyNumberFormat="1" applyFont="1" applyFill="1" applyBorder="1" applyAlignment="1">
      <alignment horizontal="right"/>
    </xf>
    <xf numFmtId="1" fontId="133" fillId="3" borderId="23" xfId="0" applyNumberFormat="1" applyFont="1" applyFill="1" applyBorder="1" applyAlignment="1">
      <alignment horizontal="right"/>
    </xf>
    <xf numFmtId="49" fontId="133" fillId="7" borderId="29" xfId="0" applyNumberFormat="1" applyFont="1" applyFill="1" applyBorder="1" applyAlignment="1">
      <alignment wrapText="1"/>
    </xf>
    <xf numFmtId="49" fontId="133" fillId="7" borderId="65" xfId="0" applyNumberFormat="1" applyFont="1" applyFill="1" applyBorder="1" applyAlignment="1">
      <alignment wrapText="1"/>
    </xf>
    <xf numFmtId="164" fontId="124" fillId="0" borderId="5" xfId="5" applyNumberFormat="1" applyFont="1" applyBorder="1" applyAlignment="1">
      <alignment horizontal="center" vertical="center" wrapText="1"/>
    </xf>
    <xf numFmtId="164" fontId="124" fillId="0" borderId="15" xfId="5" applyNumberFormat="1" applyFont="1" applyBorder="1" applyAlignment="1">
      <alignment horizontal="center" vertical="center"/>
    </xf>
    <xf numFmtId="49" fontId="125" fillId="7" borderId="17" xfId="0" applyNumberFormat="1" applyFont="1" applyFill="1" applyBorder="1" applyAlignment="1">
      <alignment horizontal="center"/>
    </xf>
    <xf numFmtId="3" fontId="125" fillId="7" borderId="52" xfId="5" applyNumberFormat="1" applyFont="1" applyFill="1" applyBorder="1" applyAlignment="1">
      <alignment horizontal="right"/>
    </xf>
    <xf numFmtId="0" fontId="125" fillId="0" borderId="29" xfId="0" applyFont="1" applyBorder="1" applyAlignment="1">
      <alignment wrapText="1"/>
    </xf>
    <xf numFmtId="3" fontId="125" fillId="8" borderId="23" xfId="5" applyNumberFormat="1" applyFont="1" applyFill="1" applyBorder="1" applyAlignment="1">
      <alignment horizontal="right"/>
    </xf>
    <xf numFmtId="49" fontId="124" fillId="0" borderId="8" xfId="0" applyNumberFormat="1" applyFont="1" applyBorder="1" applyAlignment="1">
      <alignment horizontal="center"/>
    </xf>
    <xf numFmtId="0" fontId="124" fillId="0" borderId="63" xfId="0" applyFont="1" applyBorder="1" applyAlignment="1">
      <alignment wrapText="1"/>
    </xf>
    <xf numFmtId="3" fontId="125" fillId="0" borderId="9" xfId="5" applyNumberFormat="1" applyFont="1" applyBorder="1" applyAlignment="1">
      <alignment horizontal="right"/>
    </xf>
    <xf numFmtId="3" fontId="125" fillId="8" borderId="10" xfId="5" applyNumberFormat="1" applyFont="1" applyFill="1" applyBorder="1" applyAlignment="1">
      <alignment horizontal="right"/>
    </xf>
    <xf numFmtId="0" fontId="125" fillId="0" borderId="1" xfId="0" applyFont="1" applyBorder="1" applyAlignment="1">
      <alignment wrapText="1"/>
    </xf>
    <xf numFmtId="3" fontId="125" fillId="8" borderId="40" xfId="5" applyNumberFormat="1" applyFont="1" applyFill="1" applyBorder="1" applyAlignment="1">
      <alignment horizontal="right"/>
    </xf>
    <xf numFmtId="3" fontId="133" fillId="0" borderId="68" xfId="0" applyNumberFormat="1" applyFont="1" applyBorder="1" applyAlignment="1">
      <alignment horizontal="right"/>
    </xf>
    <xf numFmtId="3" fontId="125" fillId="0" borderId="53" xfId="5" applyNumberFormat="1" applyFont="1" applyBorder="1" applyAlignment="1">
      <alignment horizontal="right"/>
    </xf>
    <xf numFmtId="49" fontId="133" fillId="3" borderId="43" xfId="0" applyNumberFormat="1" applyFont="1" applyFill="1" applyBorder="1" applyAlignment="1">
      <alignment wrapText="1"/>
    </xf>
    <xf numFmtId="0" fontId="125" fillId="3" borderId="43" xfId="0" applyFont="1" applyFill="1" applyBorder="1" applyAlignment="1">
      <alignment wrapText="1"/>
    </xf>
    <xf numFmtId="3" fontId="133" fillId="3" borderId="43" xfId="0" applyNumberFormat="1" applyFont="1" applyFill="1" applyBorder="1" applyAlignment="1">
      <alignment horizontal="right"/>
    </xf>
    <xf numFmtId="3" fontId="133" fillId="3" borderId="55" xfId="0" applyNumberFormat="1" applyFont="1" applyFill="1" applyBorder="1" applyAlignment="1">
      <alignment horizontal="right"/>
    </xf>
    <xf numFmtId="49" fontId="133" fillId="3" borderId="4" xfId="0" applyNumberFormat="1" applyFont="1" applyFill="1" applyBorder="1" applyAlignment="1">
      <alignment wrapText="1"/>
    </xf>
    <xf numFmtId="49" fontId="133" fillId="7" borderId="43" xfId="0" applyNumberFormat="1" applyFont="1" applyFill="1" applyBorder="1" applyAlignment="1">
      <alignment wrapText="1"/>
    </xf>
    <xf numFmtId="49" fontId="133" fillId="7" borderId="12" xfId="0" applyNumberFormat="1" applyFont="1" applyFill="1" applyBorder="1" applyAlignment="1">
      <alignment wrapText="1"/>
    </xf>
    <xf numFmtId="1" fontId="124" fillId="0" borderId="5" xfId="5" applyNumberFormat="1" applyFont="1" applyBorder="1" applyAlignment="1">
      <alignment horizontal="center" vertical="center" wrapText="1"/>
    </xf>
    <xf numFmtId="1" fontId="124" fillId="0" borderId="15" xfId="5" applyNumberFormat="1" applyFont="1" applyBorder="1" applyAlignment="1">
      <alignment horizontal="center" vertical="center"/>
    </xf>
    <xf numFmtId="49" fontId="124" fillId="0" borderId="16" xfId="0" applyNumberFormat="1" applyFont="1" applyBorder="1" applyAlignment="1">
      <alignment horizontal="center" vertical="center"/>
    </xf>
    <xf numFmtId="0" fontId="124" fillId="0" borderId="4" xfId="0" applyFont="1" applyBorder="1" applyAlignment="1">
      <alignment horizontal="left" vertical="center"/>
    </xf>
    <xf numFmtId="3" fontId="124" fillId="0" borderId="5" xfId="5" applyNumberFormat="1" applyFont="1" applyBorder="1" applyAlignment="1">
      <alignment horizontal="center" vertical="center" wrapText="1"/>
    </xf>
    <xf numFmtId="3" fontId="124" fillId="0" borderId="12" xfId="5" applyNumberFormat="1" applyFont="1" applyBorder="1" applyAlignment="1">
      <alignment horizontal="center" vertical="center" wrapText="1"/>
    </xf>
    <xf numFmtId="49" fontId="125" fillId="0" borderId="14" xfId="0" applyNumberFormat="1" applyFont="1" applyBorder="1" applyAlignment="1">
      <alignment horizontal="center" vertical="center"/>
    </xf>
    <xf numFmtId="0" fontId="125" fillId="0" borderId="5" xfId="0" applyFont="1" applyBorder="1" applyAlignment="1">
      <alignment wrapText="1"/>
    </xf>
    <xf numFmtId="49" fontId="125" fillId="7" borderId="16" xfId="0" applyNumberFormat="1" applyFont="1" applyFill="1" applyBorder="1" applyAlignment="1">
      <alignment horizontal="center" vertical="center"/>
    </xf>
    <xf numFmtId="3" fontId="124" fillId="7" borderId="4" xfId="5" applyNumberFormat="1" applyFont="1" applyFill="1" applyBorder="1" applyAlignment="1">
      <alignment horizontal="center" vertical="center" wrapText="1"/>
    </xf>
    <xf numFmtId="3" fontId="125" fillId="7" borderId="4" xfId="5" applyNumberFormat="1" applyFont="1" applyFill="1" applyBorder="1" applyAlignment="1">
      <alignment horizontal="right" vertical="center" wrapText="1"/>
    </xf>
    <xf numFmtId="3" fontId="125" fillId="8" borderId="23" xfId="5" applyNumberFormat="1" applyFont="1" applyFill="1" applyBorder="1" applyAlignment="1">
      <alignment horizontal="right" vertical="center"/>
    </xf>
    <xf numFmtId="49" fontId="124" fillId="0" borderId="16" xfId="0" applyNumberFormat="1" applyFont="1" applyBorder="1" applyAlignment="1">
      <alignment horizontal="center"/>
    </xf>
    <xf numFmtId="0" fontId="124" fillId="0" borderId="4" xfId="0" applyFont="1" applyBorder="1" applyAlignment="1">
      <alignment wrapText="1"/>
    </xf>
    <xf numFmtId="3" fontId="125" fillId="7" borderId="4" xfId="5" applyNumberFormat="1" applyFont="1" applyFill="1" applyBorder="1" applyAlignment="1">
      <alignment horizontal="right"/>
    </xf>
    <xf numFmtId="3" fontId="125" fillId="0" borderId="43" xfId="5" applyNumberFormat="1" applyFont="1" applyBorder="1" applyAlignment="1">
      <alignment horizontal="right"/>
    </xf>
    <xf numFmtId="3" fontId="125" fillId="7" borderId="13" xfId="5" applyNumberFormat="1" applyFont="1" applyFill="1" applyBorder="1" applyAlignment="1">
      <alignment horizontal="right" vertical="center"/>
    </xf>
    <xf numFmtId="3" fontId="125" fillId="0" borderId="53" xfId="5" applyNumberFormat="1" applyFont="1" applyBorder="1" applyAlignment="1">
      <alignment horizontal="right" vertical="center"/>
    </xf>
    <xf numFmtId="49" fontId="133" fillId="3" borderId="4" xfId="0" applyNumberFormat="1" applyFont="1" applyFill="1" applyBorder="1"/>
    <xf numFmtId="3" fontId="133" fillId="3" borderId="4" xfId="0" applyNumberFormat="1" applyFont="1" applyFill="1" applyBorder="1"/>
    <xf numFmtId="3" fontId="133" fillId="3" borderId="23" xfId="0" applyNumberFormat="1" applyFont="1" applyFill="1" applyBorder="1"/>
    <xf numFmtId="49" fontId="126" fillId="3" borderId="4" xfId="0" applyNumberFormat="1" applyFont="1" applyFill="1" applyBorder="1"/>
    <xf numFmtId="0" fontId="133" fillId="3" borderId="4" xfId="0" applyFont="1" applyFill="1" applyBorder="1"/>
    <xf numFmtId="0" fontId="133" fillId="3" borderId="23" xfId="0" applyFont="1" applyFill="1" applyBorder="1"/>
    <xf numFmtId="49" fontId="126" fillId="7" borderId="4" xfId="0" applyNumberFormat="1" applyFont="1" applyFill="1" applyBorder="1"/>
    <xf numFmtId="0" fontId="133" fillId="7" borderId="4" xfId="0" applyFont="1" applyFill="1" applyBorder="1"/>
    <xf numFmtId="0" fontId="133" fillId="7" borderId="23" xfId="0" applyFont="1" applyFill="1" applyBorder="1"/>
    <xf numFmtId="49" fontId="126" fillId="7" borderId="43" xfId="0" applyNumberFormat="1" applyFont="1" applyFill="1" applyBorder="1"/>
    <xf numFmtId="0" fontId="133" fillId="7" borderId="43" xfId="0" applyFont="1" applyFill="1" applyBorder="1"/>
    <xf numFmtId="0" fontId="133" fillId="7" borderId="55" xfId="0" applyFont="1" applyFill="1" applyBorder="1"/>
    <xf numFmtId="49" fontId="126" fillId="0" borderId="65" xfId="0" applyNumberFormat="1" applyFont="1" applyBorder="1"/>
    <xf numFmtId="165" fontId="126" fillId="0" borderId="12" xfId="0" applyNumberFormat="1" applyFont="1" applyBorder="1"/>
    <xf numFmtId="0" fontId="126" fillId="0" borderId="12" xfId="0" applyFont="1" applyBorder="1"/>
    <xf numFmtId="0" fontId="126" fillId="0" borderId="13" xfId="0" applyFont="1" applyBorder="1"/>
    <xf numFmtId="3" fontId="56" fillId="0" borderId="36" xfId="0" applyNumberFormat="1" applyFont="1" applyBorder="1" applyAlignment="1">
      <alignment horizontal="left"/>
    </xf>
    <xf numFmtId="166" fontId="51" fillId="0" borderId="36" xfId="0" applyNumberFormat="1" applyFont="1" applyBorder="1" applyAlignment="1">
      <alignment horizontal="left"/>
    </xf>
    <xf numFmtId="0" fontId="2" fillId="7" borderId="0" xfId="0" applyFont="1" applyFill="1"/>
    <xf numFmtId="166" fontId="51" fillId="7" borderId="31" xfId="0" applyNumberFormat="1" applyFont="1" applyFill="1" applyBorder="1" applyAlignment="1">
      <alignment horizontal="left"/>
    </xf>
    <xf numFmtId="0" fontId="2" fillId="7" borderId="36" xfId="0" applyFont="1" applyFill="1" applyBorder="1"/>
    <xf numFmtId="166" fontId="51" fillId="7" borderId="30" xfId="0" applyNumberFormat="1" applyFont="1" applyFill="1" applyBorder="1" applyAlignment="1">
      <alignment horizontal="left"/>
    </xf>
    <xf numFmtId="166" fontId="53" fillId="7" borderId="30" xfId="0" applyNumberFormat="1" applyFont="1" applyFill="1" applyBorder="1" applyAlignment="1">
      <alignment horizontal="left"/>
    </xf>
    <xf numFmtId="166" fontId="53" fillId="7" borderId="48" xfId="0" applyNumberFormat="1" applyFont="1" applyFill="1" applyBorder="1" applyAlignment="1">
      <alignment horizontal="left"/>
    </xf>
    <xf numFmtId="166" fontId="51" fillId="7" borderId="30" xfId="0" applyNumberFormat="1" applyFont="1" applyFill="1" applyBorder="1" applyAlignment="1">
      <alignment horizontal="center"/>
    </xf>
    <xf numFmtId="166" fontId="51" fillId="7" borderId="32" xfId="0" applyNumberFormat="1" applyFont="1" applyFill="1" applyBorder="1" applyAlignment="1">
      <alignment horizontal="right"/>
    </xf>
    <xf numFmtId="0" fontId="1" fillId="7" borderId="0" xfId="0" applyFont="1" applyFill="1"/>
    <xf numFmtId="49" fontId="50" fillId="7" borderId="8" xfId="0" applyNumberFormat="1" applyFont="1" applyFill="1" applyBorder="1" applyAlignment="1">
      <alignment horizontal="center"/>
    </xf>
    <xf numFmtId="0" fontId="50" fillId="7" borderId="9" xfId="0" applyFont="1" applyFill="1" applyBorder="1"/>
    <xf numFmtId="49" fontId="49" fillId="7" borderId="11" xfId="0" applyNumberFormat="1" applyFont="1" applyFill="1" applyBorder="1" applyAlignment="1">
      <alignment horizontal="center"/>
    </xf>
    <xf numFmtId="3" fontId="49" fillId="7" borderId="9" xfId="5" applyNumberFormat="1" applyFont="1" applyFill="1" applyBorder="1" applyAlignment="1">
      <alignment horizontal="right"/>
    </xf>
    <xf numFmtId="3" fontId="49" fillId="7" borderId="9" xfId="0" applyNumberFormat="1" applyFont="1" applyFill="1" applyBorder="1" applyAlignment="1">
      <alignment horizontal="right"/>
    </xf>
    <xf numFmtId="3" fontId="49" fillId="5" borderId="10" xfId="5" applyNumberFormat="1" applyFont="1" applyFill="1" applyBorder="1" applyAlignment="1">
      <alignment horizontal="right"/>
    </xf>
    <xf numFmtId="0" fontId="49" fillId="7" borderId="44" xfId="0" applyFont="1" applyFill="1" applyBorder="1"/>
    <xf numFmtId="0" fontId="49" fillId="7" borderId="0" xfId="0" applyFont="1" applyFill="1"/>
    <xf numFmtId="3" fontId="49" fillId="7" borderId="12" xfId="5" applyNumberFormat="1" applyFont="1" applyFill="1" applyBorder="1" applyAlignment="1">
      <alignment horizontal="right"/>
    </xf>
    <xf numFmtId="3" fontId="49" fillId="7" borderId="12" xfId="0" applyNumberFormat="1" applyFont="1" applyFill="1" applyBorder="1" applyAlignment="1">
      <alignment horizontal="right"/>
    </xf>
    <xf numFmtId="3" fontId="49" fillId="5" borderId="13" xfId="5" applyNumberFormat="1" applyFont="1" applyFill="1" applyBorder="1" applyAlignment="1">
      <alignment horizontal="right"/>
    </xf>
    <xf numFmtId="49" fontId="79" fillId="7" borderId="14" xfId="0" applyNumberFormat="1" applyFont="1" applyFill="1" applyBorder="1" applyAlignment="1">
      <alignment horizontal="center"/>
    </xf>
    <xf numFmtId="0" fontId="79" fillId="7" borderId="5" xfId="0" applyFont="1" applyFill="1" applyBorder="1" applyAlignment="1">
      <alignment wrapText="1"/>
    </xf>
    <xf numFmtId="3" fontId="79" fillId="7" borderId="5" xfId="5" applyNumberFormat="1" applyFont="1" applyFill="1" applyBorder="1" applyAlignment="1">
      <alignment horizontal="right"/>
    </xf>
    <xf numFmtId="3" fontId="79" fillId="7" borderId="5" xfId="0" applyNumberFormat="1" applyFont="1" applyFill="1" applyBorder="1" applyAlignment="1">
      <alignment horizontal="right"/>
    </xf>
    <xf numFmtId="3" fontId="79" fillId="7" borderId="60" xfId="0" applyNumberFormat="1" applyFont="1" applyFill="1" applyBorder="1" applyAlignment="1">
      <alignment horizontal="right"/>
    </xf>
    <xf numFmtId="3" fontId="79" fillId="5" borderId="15" xfId="5" applyNumberFormat="1" applyFont="1" applyFill="1" applyBorder="1" applyAlignment="1">
      <alignment horizontal="right"/>
    </xf>
    <xf numFmtId="49" fontId="79" fillId="7" borderId="11" xfId="0" applyNumberFormat="1" applyFont="1" applyFill="1" applyBorder="1" applyAlignment="1">
      <alignment horizontal="center"/>
    </xf>
    <xf numFmtId="3" fontId="79" fillId="7" borderId="12" xfId="0" applyNumberFormat="1" applyFont="1" applyFill="1" applyBorder="1" applyAlignment="1">
      <alignment horizontal="right"/>
    </xf>
    <xf numFmtId="3" fontId="79" fillId="7" borderId="56" xfId="0" applyNumberFormat="1" applyFont="1" applyFill="1" applyBorder="1" applyAlignment="1">
      <alignment horizontal="right"/>
    </xf>
    <xf numFmtId="3" fontId="79" fillId="5" borderId="13" xfId="5" applyNumberFormat="1" applyFont="1" applyFill="1" applyBorder="1" applyAlignment="1">
      <alignment horizontal="right"/>
    </xf>
    <xf numFmtId="49" fontId="79" fillId="7" borderId="14" xfId="0" applyNumberFormat="1" applyFont="1" applyFill="1" applyBorder="1" applyAlignment="1">
      <alignment horizontal="center" vertical="center"/>
    </xf>
    <xf numFmtId="3" fontId="79" fillId="7" borderId="5" xfId="5" applyNumberFormat="1" applyFont="1" applyFill="1" applyBorder="1" applyAlignment="1">
      <alignment horizontal="right" vertical="center" wrapText="1"/>
    </xf>
    <xf numFmtId="3" fontId="80" fillId="7" borderId="5" xfId="5" applyNumberFormat="1" applyFont="1" applyFill="1" applyBorder="1" applyAlignment="1">
      <alignment horizontal="right" vertical="center" wrapText="1"/>
    </xf>
    <xf numFmtId="3" fontId="79" fillId="7" borderId="5" xfId="5" applyNumberFormat="1" applyFont="1" applyFill="1" applyBorder="1" applyAlignment="1">
      <alignment horizontal="center" vertical="center" wrapText="1"/>
    </xf>
    <xf numFmtId="3" fontId="80" fillId="7" borderId="60" xfId="5" applyNumberFormat="1" applyFont="1" applyFill="1" applyBorder="1" applyAlignment="1">
      <alignment horizontal="right" vertical="center" wrapText="1"/>
    </xf>
    <xf numFmtId="3" fontId="79" fillId="7" borderId="12" xfId="5" applyNumberFormat="1" applyFont="1" applyFill="1" applyBorder="1" applyAlignment="1">
      <alignment horizontal="right" vertical="center" wrapText="1"/>
    </xf>
    <xf numFmtId="3" fontId="80" fillId="7" borderId="12" xfId="5" applyNumberFormat="1" applyFont="1" applyFill="1" applyBorder="1" applyAlignment="1">
      <alignment horizontal="right" vertical="center" wrapText="1"/>
    </xf>
    <xf numFmtId="3" fontId="79" fillId="7" borderId="12" xfId="5" applyNumberFormat="1" applyFont="1" applyFill="1" applyBorder="1" applyAlignment="1">
      <alignment horizontal="center" vertical="center" wrapText="1"/>
    </xf>
    <xf numFmtId="3" fontId="80" fillId="7" borderId="56" xfId="5" applyNumberFormat="1" applyFont="1" applyFill="1" applyBorder="1" applyAlignment="1">
      <alignment horizontal="right" vertical="center" wrapText="1"/>
    </xf>
    <xf numFmtId="166" fontId="55" fillId="7" borderId="20" xfId="0" applyNumberFormat="1" applyFont="1" applyFill="1" applyBorder="1" applyAlignment="1">
      <alignment horizontal="left"/>
    </xf>
    <xf numFmtId="3" fontId="56" fillId="0" borderId="34" xfId="0" applyNumberFormat="1" applyFont="1" applyBorder="1" applyAlignment="1">
      <alignment horizontal="right"/>
    </xf>
    <xf numFmtId="42" fontId="1" fillId="0" borderId="0" xfId="0" applyNumberFormat="1" applyFont="1"/>
    <xf numFmtId="0" fontId="4" fillId="0" borderId="0" xfId="0" applyFont="1"/>
    <xf numFmtId="3" fontId="0" fillId="0" borderId="55" xfId="0" applyNumberFormat="1" applyBorder="1"/>
    <xf numFmtId="3" fontId="7" fillId="0" borderId="22" xfId="0" applyNumberFormat="1" applyFont="1" applyBorder="1"/>
    <xf numFmtId="3" fontId="0" fillId="0" borderId="15" xfId="0" applyNumberFormat="1" applyBorder="1"/>
    <xf numFmtId="3" fontId="0" fillId="0" borderId="53" xfId="0" applyNumberFormat="1" applyBorder="1"/>
    <xf numFmtId="3" fontId="7" fillId="0" borderId="55" xfId="0" applyNumberFormat="1" applyFont="1" applyBorder="1"/>
    <xf numFmtId="3" fontId="0" fillId="0" borderId="40" xfId="0" applyNumberFormat="1" applyBorder="1"/>
    <xf numFmtId="3" fontId="0" fillId="0" borderId="13" xfId="0" applyNumberFormat="1" applyBorder="1"/>
    <xf numFmtId="49" fontId="125" fillId="7" borderId="17" xfId="0" applyNumberFormat="1" applyFont="1" applyFill="1" applyBorder="1" applyAlignment="1">
      <alignment horizontal="center" vertical="center"/>
    </xf>
    <xf numFmtId="0" fontId="125" fillId="7" borderId="52" xfId="0" applyFont="1" applyFill="1" applyBorder="1" applyAlignment="1">
      <alignment wrapText="1"/>
    </xf>
    <xf numFmtId="49" fontId="135" fillId="0" borderId="16" xfId="0" applyNumberFormat="1" applyFont="1" applyBorder="1" applyAlignment="1">
      <alignment horizontal="center" vertical="center"/>
    </xf>
    <xf numFmtId="0" fontId="135" fillId="0" borderId="4" xfId="0" applyFont="1" applyBorder="1" applyAlignment="1">
      <alignment wrapText="1"/>
    </xf>
    <xf numFmtId="49" fontId="135" fillId="7" borderId="16" xfId="0" applyNumberFormat="1" applyFont="1" applyFill="1" applyBorder="1" applyAlignment="1">
      <alignment horizontal="center" vertical="center"/>
    </xf>
    <xf numFmtId="0" fontId="135" fillId="7" borderId="4" xfId="0" applyFont="1" applyFill="1" applyBorder="1" applyAlignment="1">
      <alignment wrapText="1"/>
    </xf>
    <xf numFmtId="0" fontId="42" fillId="7" borderId="0" xfId="0" applyFont="1" applyFill="1"/>
    <xf numFmtId="49" fontId="42" fillId="7" borderId="11" xfId="0" applyNumberFormat="1" applyFont="1" applyFill="1" applyBorder="1" applyAlignment="1">
      <alignment horizontal="center"/>
    </xf>
    <xf numFmtId="0" fontId="42" fillId="7" borderId="12" xfId="0" applyFont="1" applyFill="1" applyBorder="1"/>
    <xf numFmtId="49" fontId="135" fillId="7" borderId="14" xfId="0" applyNumberFormat="1" applyFont="1" applyFill="1" applyBorder="1" applyAlignment="1">
      <alignment horizontal="center"/>
    </xf>
    <xf numFmtId="0" fontId="135" fillId="7" borderId="5" xfId="0" applyFont="1" applyFill="1" applyBorder="1" applyAlignment="1">
      <alignment wrapText="1"/>
    </xf>
    <xf numFmtId="3" fontId="39" fillId="0" borderId="10" xfId="5" applyNumberFormat="1" applyFont="1" applyBorder="1" applyAlignment="1">
      <alignment horizontal="right"/>
    </xf>
    <xf numFmtId="3" fontId="40" fillId="0" borderId="76" xfId="5" applyNumberFormat="1" applyFont="1" applyBorder="1" applyAlignment="1">
      <alignment horizontal="right" vertical="center"/>
    </xf>
    <xf numFmtId="3" fontId="39" fillId="0" borderId="13" xfId="5" applyNumberFormat="1" applyFont="1" applyBorder="1" applyAlignment="1">
      <alignment horizontal="right"/>
    </xf>
    <xf numFmtId="3" fontId="40" fillId="0" borderId="77" xfId="5" applyNumberFormat="1" applyFont="1" applyBorder="1" applyAlignment="1">
      <alignment horizontal="right" vertical="center"/>
    </xf>
    <xf numFmtId="3" fontId="39" fillId="0" borderId="40" xfId="5" applyNumberFormat="1" applyFont="1" applyBorder="1" applyAlignment="1">
      <alignment horizontal="right"/>
    </xf>
    <xf numFmtId="3" fontId="40" fillId="0" borderId="74" xfId="5" applyNumberFormat="1" applyFont="1" applyBorder="1" applyAlignment="1">
      <alignment horizontal="right" vertical="center"/>
    </xf>
    <xf numFmtId="3" fontId="88" fillId="7" borderId="5" xfId="5" applyNumberFormat="1" applyFont="1" applyFill="1" applyBorder="1" applyAlignment="1">
      <alignment horizontal="right"/>
    </xf>
    <xf numFmtId="3" fontId="89" fillId="7" borderId="76" xfId="5" applyNumberFormat="1" applyFont="1" applyFill="1" applyBorder="1" applyAlignment="1">
      <alignment horizontal="right" vertical="center"/>
    </xf>
    <xf numFmtId="3" fontId="39" fillId="0" borderId="23" xfId="5" applyNumberFormat="1" applyFont="1" applyBorder="1" applyAlignment="1">
      <alignment horizontal="right"/>
    </xf>
    <xf numFmtId="3" fontId="40" fillId="0" borderId="41" xfId="5" applyNumberFormat="1" applyFont="1" applyBorder="1" applyAlignment="1">
      <alignment horizontal="right" vertical="center"/>
    </xf>
    <xf numFmtId="3" fontId="89" fillId="7" borderId="42" xfId="5" applyNumberFormat="1" applyFont="1" applyFill="1" applyBorder="1" applyAlignment="1">
      <alignment horizontal="right" vertical="center"/>
    </xf>
    <xf numFmtId="3" fontId="40" fillId="0" borderId="42" xfId="5" applyNumberFormat="1" applyFont="1" applyBorder="1" applyAlignment="1">
      <alignment horizontal="right" vertical="center"/>
    </xf>
    <xf numFmtId="3" fontId="40" fillId="0" borderId="4" xfId="5" applyNumberFormat="1" applyFont="1" applyBorder="1" applyAlignment="1">
      <alignment horizontal="right" vertical="center" wrapText="1"/>
    </xf>
    <xf numFmtId="3" fontId="40" fillId="0" borderId="23" xfId="5" applyNumberFormat="1" applyFont="1" applyBorder="1" applyAlignment="1">
      <alignment horizontal="right" vertical="center" wrapText="1"/>
    </xf>
    <xf numFmtId="3" fontId="40" fillId="0" borderId="12" xfId="5" applyNumberFormat="1" applyFont="1" applyBorder="1" applyAlignment="1">
      <alignment horizontal="right" vertical="center" wrapText="1"/>
    </xf>
    <xf numFmtId="3" fontId="40" fillId="0" borderId="13" xfId="5" applyNumberFormat="1" applyFont="1" applyBorder="1" applyAlignment="1">
      <alignment horizontal="right" vertical="center" wrapText="1"/>
    </xf>
    <xf numFmtId="3" fontId="42" fillId="0" borderId="52" xfId="5" applyNumberFormat="1" applyFont="1" applyBorder="1" applyAlignment="1">
      <alignment horizontal="right" vertical="center" wrapText="1"/>
    </xf>
    <xf numFmtId="3" fontId="40" fillId="0" borderId="52" xfId="5" applyNumberFormat="1" applyFont="1" applyBorder="1" applyAlignment="1">
      <alignment horizontal="right" vertical="center" wrapText="1"/>
    </xf>
    <xf numFmtId="3" fontId="40" fillId="0" borderId="40" xfId="5" applyNumberFormat="1" applyFont="1" applyBorder="1" applyAlignment="1">
      <alignment horizontal="right" vertical="center" wrapText="1"/>
    </xf>
    <xf numFmtId="3" fontId="91" fillId="7" borderId="5" xfId="5" applyNumberFormat="1" applyFont="1" applyFill="1" applyBorder="1" applyAlignment="1">
      <alignment horizontal="right" vertical="center" wrapText="1"/>
    </xf>
    <xf numFmtId="3" fontId="89" fillId="7" borderId="5" xfId="5" applyNumberFormat="1" applyFont="1" applyFill="1" applyBorder="1" applyAlignment="1">
      <alignment horizontal="right" vertical="center" wrapText="1"/>
    </xf>
    <xf numFmtId="3" fontId="89" fillId="7" borderId="15" xfId="5" applyNumberFormat="1" applyFont="1" applyFill="1" applyBorder="1" applyAlignment="1">
      <alignment horizontal="right" vertical="center" wrapText="1"/>
    </xf>
    <xf numFmtId="3" fontId="42" fillId="0" borderId="52" xfId="5" applyNumberFormat="1" applyFont="1" applyBorder="1" applyAlignment="1">
      <alignment horizontal="center" vertical="center" wrapText="1"/>
    </xf>
    <xf numFmtId="3" fontId="91" fillId="7" borderId="5" xfId="5" applyNumberFormat="1" applyFont="1" applyFill="1" applyBorder="1" applyAlignment="1">
      <alignment horizontal="center" vertical="center" wrapText="1"/>
    </xf>
    <xf numFmtId="3" fontId="125" fillId="7" borderId="40" xfId="5" applyNumberFormat="1" applyFont="1" applyFill="1" applyBorder="1" applyAlignment="1">
      <alignment horizontal="right"/>
    </xf>
    <xf numFmtId="3" fontId="124" fillId="7" borderId="74" xfId="5" applyNumberFormat="1" applyFont="1" applyFill="1" applyBorder="1" applyAlignment="1">
      <alignment horizontal="right" vertical="center"/>
    </xf>
    <xf numFmtId="3" fontId="103" fillId="7" borderId="5" xfId="5" applyNumberFormat="1" applyFont="1" applyFill="1" applyBorder="1" applyAlignment="1">
      <alignment horizontal="right"/>
    </xf>
    <xf numFmtId="3" fontId="103" fillId="7" borderId="60" xfId="5" applyNumberFormat="1" applyFont="1" applyFill="1" applyBorder="1" applyAlignment="1">
      <alignment horizontal="right"/>
    </xf>
    <xf numFmtId="3" fontId="104" fillId="7" borderId="42" xfId="5" applyNumberFormat="1" applyFont="1" applyFill="1" applyBorder="1" applyAlignment="1">
      <alignment horizontal="right" vertical="center"/>
    </xf>
    <xf numFmtId="3" fontId="103" fillId="7" borderId="12" xfId="5" applyNumberFormat="1" applyFont="1" applyFill="1" applyBorder="1" applyAlignment="1">
      <alignment horizontal="right"/>
    </xf>
    <xf numFmtId="3" fontId="103" fillId="7" borderId="56" xfId="5" applyNumberFormat="1" applyFont="1" applyFill="1" applyBorder="1" applyAlignment="1">
      <alignment horizontal="right"/>
    </xf>
    <xf numFmtId="3" fontId="104" fillId="7" borderId="77" xfId="5" applyNumberFormat="1" applyFont="1" applyFill="1" applyBorder="1" applyAlignment="1">
      <alignment horizontal="right" vertical="center"/>
    </xf>
    <xf numFmtId="3" fontId="103" fillId="7" borderId="6" xfId="5" applyNumberFormat="1" applyFont="1" applyFill="1" applyBorder="1" applyAlignment="1">
      <alignment horizontal="right"/>
    </xf>
    <xf numFmtId="3" fontId="103" fillId="7" borderId="7" xfId="5" applyNumberFormat="1" applyFont="1" applyFill="1" applyBorder="1" applyAlignment="1">
      <alignment horizontal="right"/>
    </xf>
    <xf numFmtId="3" fontId="104" fillId="7" borderId="73" xfId="5" applyNumberFormat="1" applyFont="1" applyFill="1" applyBorder="1" applyAlignment="1">
      <alignment horizontal="right" vertical="center"/>
    </xf>
    <xf numFmtId="3" fontId="88" fillId="7" borderId="9" xfId="5" applyNumberFormat="1" applyFont="1" applyFill="1" applyBorder="1" applyAlignment="1">
      <alignment horizontal="right"/>
    </xf>
    <xf numFmtId="3" fontId="88" fillId="7" borderId="79" xfId="5" applyNumberFormat="1" applyFont="1" applyFill="1" applyBorder="1" applyAlignment="1">
      <alignment horizontal="right"/>
    </xf>
    <xf numFmtId="3" fontId="105" fillId="7" borderId="5" xfId="5" applyNumberFormat="1" applyFont="1" applyFill="1" applyBorder="1" applyAlignment="1">
      <alignment horizontal="right"/>
    </xf>
    <xf numFmtId="3" fontId="105" fillId="7" borderId="60" xfId="5" applyNumberFormat="1" applyFont="1" applyFill="1" applyBorder="1" applyAlignment="1">
      <alignment horizontal="right"/>
    </xf>
    <xf numFmtId="3" fontId="106" fillId="7" borderId="42" xfId="5" applyNumberFormat="1" applyFont="1" applyFill="1" applyBorder="1" applyAlignment="1">
      <alignment horizontal="right" vertical="center"/>
    </xf>
    <xf numFmtId="3" fontId="103" fillId="7" borderId="4" xfId="5" applyNumberFormat="1" applyFont="1" applyFill="1" applyBorder="1" applyAlignment="1">
      <alignment horizontal="right"/>
    </xf>
    <xf numFmtId="3" fontId="103" fillId="7" borderId="62" xfId="5" applyNumberFormat="1" applyFont="1" applyFill="1" applyBorder="1" applyAlignment="1">
      <alignment horizontal="right"/>
    </xf>
    <xf numFmtId="3" fontId="104" fillId="7" borderId="41" xfId="5" applyNumberFormat="1" applyFont="1" applyFill="1" applyBorder="1" applyAlignment="1">
      <alignment horizontal="right" vertical="center"/>
    </xf>
    <xf numFmtId="3" fontId="103" fillId="7" borderId="43" xfId="5" applyNumberFormat="1" applyFont="1" applyFill="1" applyBorder="1" applyAlignment="1">
      <alignment horizontal="right"/>
    </xf>
    <xf numFmtId="3" fontId="103" fillId="7" borderId="61" xfId="5" applyNumberFormat="1" applyFont="1" applyFill="1" applyBorder="1" applyAlignment="1">
      <alignment horizontal="right"/>
    </xf>
    <xf numFmtId="3" fontId="104" fillId="7" borderId="71" xfId="5" applyNumberFormat="1" applyFont="1" applyFill="1" applyBorder="1" applyAlignment="1">
      <alignment horizontal="right" vertical="center"/>
    </xf>
    <xf numFmtId="3" fontId="103" fillId="7" borderId="9" xfId="5" applyNumberFormat="1" applyFont="1" applyFill="1" applyBorder="1" applyAlignment="1">
      <alignment horizontal="right"/>
    </xf>
    <xf numFmtId="3" fontId="103" fillId="7" borderId="79" xfId="5" applyNumberFormat="1" applyFont="1" applyFill="1" applyBorder="1" applyAlignment="1">
      <alignment horizontal="right"/>
    </xf>
    <xf numFmtId="3" fontId="104" fillId="7" borderId="76" xfId="5" applyNumberFormat="1" applyFont="1" applyFill="1" applyBorder="1" applyAlignment="1">
      <alignment horizontal="right" vertical="center"/>
    </xf>
    <xf numFmtId="3" fontId="48" fillId="0" borderId="68" xfId="0" applyNumberFormat="1" applyFont="1" applyBorder="1" applyAlignment="1">
      <alignment horizontal="right"/>
    </xf>
    <xf numFmtId="3" fontId="48" fillId="0" borderId="69" xfId="0" applyNumberFormat="1" applyFont="1" applyBorder="1" applyAlignment="1">
      <alignment horizontal="right"/>
    </xf>
    <xf numFmtId="3" fontId="48" fillId="4" borderId="12" xfId="0" applyNumberFormat="1" applyFont="1" applyFill="1" applyBorder="1" applyAlignment="1">
      <alignment horizontal="right"/>
    </xf>
    <xf numFmtId="3" fontId="48" fillId="4" borderId="5" xfId="0" applyNumberFormat="1" applyFont="1" applyFill="1" applyBorder="1" applyAlignment="1">
      <alignment horizontal="right"/>
    </xf>
    <xf numFmtId="3" fontId="48" fillId="4" borderId="60" xfId="0" applyNumberFormat="1" applyFont="1" applyFill="1" applyBorder="1" applyAlignment="1">
      <alignment horizontal="right"/>
    </xf>
    <xf numFmtId="3" fontId="48" fillId="4" borderId="42" xfId="0" applyNumberFormat="1" applyFont="1" applyFill="1" applyBorder="1" applyAlignment="1">
      <alignment horizontal="right"/>
    </xf>
    <xf numFmtId="3" fontId="96" fillId="7" borderId="4" xfId="0" applyNumberFormat="1" applyFont="1" applyFill="1" applyBorder="1" applyAlignment="1">
      <alignment horizontal="right"/>
    </xf>
    <xf numFmtId="3" fontId="96" fillId="7" borderId="62" xfId="0" applyNumberFormat="1" applyFont="1" applyFill="1" applyBorder="1" applyAlignment="1">
      <alignment horizontal="right"/>
    </xf>
    <xf numFmtId="3" fontId="96" fillId="7" borderId="41" xfId="0" applyNumberFormat="1" applyFont="1" applyFill="1" applyBorder="1" applyAlignment="1">
      <alignment horizontal="right"/>
    </xf>
    <xf numFmtId="3" fontId="96" fillId="7" borderId="12" xfId="0" applyNumberFormat="1" applyFont="1" applyFill="1" applyBorder="1" applyAlignment="1">
      <alignment horizontal="right"/>
    </xf>
    <xf numFmtId="3" fontId="96" fillId="7" borderId="13" xfId="0" applyNumberFormat="1" applyFont="1" applyFill="1" applyBorder="1" applyAlignment="1">
      <alignment horizontal="right"/>
    </xf>
    <xf numFmtId="3" fontId="96" fillId="7" borderId="77" xfId="0" applyNumberFormat="1" applyFont="1" applyFill="1" applyBorder="1" applyAlignment="1">
      <alignment horizontal="right"/>
    </xf>
    <xf numFmtId="3" fontId="48" fillId="0" borderId="0" xfId="0" applyNumberFormat="1" applyFont="1" applyAlignment="1">
      <alignment horizontal="right"/>
    </xf>
    <xf numFmtId="3" fontId="48" fillId="0" borderId="1" xfId="0" applyNumberFormat="1" applyFont="1" applyBorder="1" applyAlignment="1">
      <alignment horizontal="right"/>
    </xf>
    <xf numFmtId="3" fontId="48" fillId="0" borderId="7" xfId="0" applyNumberFormat="1" applyFont="1" applyBorder="1" applyAlignment="1">
      <alignment horizontal="right"/>
    </xf>
    <xf numFmtId="3" fontId="39" fillId="0" borderId="0" xfId="5" applyNumberFormat="1" applyFont="1" applyAlignment="1">
      <alignment horizontal="right"/>
    </xf>
    <xf numFmtId="3" fontId="40" fillId="0" borderId="0" xfId="5" applyNumberFormat="1" applyFont="1" applyAlignment="1">
      <alignment horizontal="right" vertical="center"/>
    </xf>
    <xf numFmtId="3" fontId="39" fillId="0" borderId="26" xfId="5" applyNumberFormat="1" applyFont="1" applyBorder="1" applyAlignment="1">
      <alignment horizontal="right"/>
    </xf>
    <xf numFmtId="3" fontId="39" fillId="0" borderId="21" xfId="5" applyNumberFormat="1" applyFont="1" applyBorder="1" applyAlignment="1">
      <alignment horizontal="right"/>
    </xf>
    <xf numFmtId="3" fontId="40" fillId="0" borderId="72" xfId="5" applyNumberFormat="1" applyFont="1" applyBorder="1" applyAlignment="1">
      <alignment horizontal="right" vertical="center"/>
    </xf>
    <xf numFmtId="3" fontId="125" fillId="7" borderId="23" xfId="5" applyNumberFormat="1" applyFont="1" applyFill="1" applyBorder="1" applyAlignment="1">
      <alignment horizontal="right"/>
    </xf>
    <xf numFmtId="3" fontId="124" fillId="7" borderId="41" xfId="5" applyNumberFormat="1" applyFont="1" applyFill="1" applyBorder="1" applyAlignment="1">
      <alignment horizontal="right" vertical="center"/>
    </xf>
    <xf numFmtId="3" fontId="39" fillId="0" borderId="55" xfId="5" applyNumberFormat="1" applyFont="1" applyBorder="1" applyAlignment="1">
      <alignment horizontal="right"/>
    </xf>
    <xf numFmtId="3" fontId="40" fillId="0" borderId="71" xfId="5" applyNumberFormat="1" applyFont="1" applyBorder="1" applyAlignment="1">
      <alignment horizontal="right" vertical="center"/>
    </xf>
    <xf numFmtId="3" fontId="48" fillId="4" borderId="52" xfId="0" applyNumberFormat="1" applyFont="1" applyFill="1" applyBorder="1" applyAlignment="1">
      <alignment horizontal="right"/>
    </xf>
    <xf numFmtId="3" fontId="48" fillId="4" borderId="64" xfId="0" applyNumberFormat="1" applyFont="1" applyFill="1" applyBorder="1" applyAlignment="1">
      <alignment horizontal="right"/>
    </xf>
    <xf numFmtId="3" fontId="48" fillId="4" borderId="74" xfId="0" applyNumberFormat="1" applyFont="1" applyFill="1" applyBorder="1" applyAlignment="1">
      <alignment horizontal="right"/>
    </xf>
    <xf numFmtId="3" fontId="96" fillId="7" borderId="5" xfId="0" applyNumberFormat="1" applyFont="1" applyFill="1" applyBorder="1" applyAlignment="1">
      <alignment horizontal="right"/>
    </xf>
    <xf numFmtId="3" fontId="96" fillId="7" borderId="9" xfId="0" applyNumberFormat="1" applyFont="1" applyFill="1" applyBorder="1" applyAlignment="1">
      <alignment horizontal="right"/>
    </xf>
    <xf numFmtId="3" fontId="96" fillId="7" borderId="60" xfId="0" applyNumberFormat="1" applyFont="1" applyFill="1" applyBorder="1" applyAlignment="1">
      <alignment horizontal="right"/>
    </xf>
    <xf numFmtId="3" fontId="96" fillId="7" borderId="42" xfId="0" applyNumberFormat="1" applyFont="1" applyFill="1" applyBorder="1" applyAlignment="1">
      <alignment horizontal="right"/>
    </xf>
    <xf numFmtId="3" fontId="48" fillId="0" borderId="4" xfId="0" applyNumberFormat="1" applyFont="1" applyBorder="1" applyAlignment="1">
      <alignment horizontal="right"/>
    </xf>
    <xf numFmtId="3" fontId="48" fillId="0" borderId="62" xfId="0" applyNumberFormat="1" applyFont="1" applyBorder="1" applyAlignment="1">
      <alignment horizontal="right"/>
    </xf>
    <xf numFmtId="3" fontId="48" fillId="4" borderId="56" xfId="0" applyNumberFormat="1" applyFont="1" applyFill="1" applyBorder="1" applyAlignment="1">
      <alignment horizontal="right"/>
    </xf>
    <xf numFmtId="3" fontId="48" fillId="4" borderId="77" xfId="0" applyNumberFormat="1" applyFont="1" applyFill="1" applyBorder="1" applyAlignment="1">
      <alignment horizontal="right"/>
    </xf>
    <xf numFmtId="3" fontId="42" fillId="0" borderId="9" xfId="5" applyNumberFormat="1" applyFont="1" applyBorder="1" applyAlignment="1">
      <alignment horizontal="center" wrapText="1"/>
    </xf>
    <xf numFmtId="3" fontId="42" fillId="0" borderId="10" xfId="5" applyNumberFormat="1" applyFont="1" applyBorder="1" applyAlignment="1">
      <alignment horizontal="center" wrapText="1"/>
    </xf>
    <xf numFmtId="3" fontId="42" fillId="4" borderId="76" xfId="5" applyNumberFormat="1" applyFont="1" applyFill="1" applyBorder="1" applyAlignment="1">
      <alignment horizontal="right"/>
    </xf>
    <xf numFmtId="3" fontId="42" fillId="0" borderId="12" xfId="5" applyNumberFormat="1" applyFont="1" applyBorder="1" applyAlignment="1">
      <alignment horizontal="center" wrapText="1"/>
    </xf>
    <xf numFmtId="3" fontId="42" fillId="0" borderId="13" xfId="5" applyNumberFormat="1" applyFont="1" applyBorder="1" applyAlignment="1">
      <alignment horizontal="center" wrapText="1"/>
    </xf>
    <xf numFmtId="3" fontId="42" fillId="4" borderId="39" xfId="5" applyNumberFormat="1" applyFont="1" applyFill="1" applyBorder="1" applyAlignment="1">
      <alignment horizontal="right"/>
    </xf>
    <xf numFmtId="3" fontId="42" fillId="0" borderId="52" xfId="5" applyNumberFormat="1" applyFont="1" applyBorder="1" applyAlignment="1">
      <alignment horizontal="center" wrapText="1"/>
    </xf>
    <xf numFmtId="3" fontId="42" fillId="0" borderId="40" xfId="5" applyNumberFormat="1" applyFont="1" applyBorder="1" applyAlignment="1">
      <alignment horizontal="center" wrapText="1"/>
    </xf>
    <xf numFmtId="3" fontId="42" fillId="4" borderId="45" xfId="5" applyNumberFormat="1" applyFont="1" applyFill="1" applyBorder="1" applyAlignment="1">
      <alignment horizontal="right"/>
    </xf>
    <xf numFmtId="3" fontId="91" fillId="7" borderId="5" xfId="5" applyNumberFormat="1" applyFont="1" applyFill="1" applyBorder="1" applyAlignment="1">
      <alignment horizontal="center" wrapText="1"/>
    </xf>
    <xf numFmtId="3" fontId="91" fillId="7" borderId="15" xfId="5" applyNumberFormat="1" applyFont="1" applyFill="1" applyBorder="1" applyAlignment="1">
      <alignment horizontal="center" wrapText="1"/>
    </xf>
    <xf numFmtId="3" fontId="91" fillId="7" borderId="37" xfId="5" applyNumberFormat="1" applyFont="1" applyFill="1" applyBorder="1" applyAlignment="1">
      <alignment horizontal="right"/>
    </xf>
    <xf numFmtId="3" fontId="42" fillId="0" borderId="4" xfId="5" applyNumberFormat="1" applyFont="1" applyBorder="1" applyAlignment="1">
      <alignment horizontal="center" wrapText="1"/>
    </xf>
    <xf numFmtId="3" fontId="42" fillId="0" borderId="23" xfId="5" applyNumberFormat="1" applyFont="1" applyBorder="1" applyAlignment="1">
      <alignment horizontal="center" wrapText="1"/>
    </xf>
    <xf numFmtId="3" fontId="42" fillId="4" borderId="37" xfId="5" applyNumberFormat="1" applyFont="1" applyFill="1" applyBorder="1" applyAlignment="1">
      <alignment horizontal="right"/>
    </xf>
    <xf numFmtId="3" fontId="42" fillId="4" borderId="77" xfId="5" applyNumberFormat="1" applyFont="1" applyFill="1" applyBorder="1" applyAlignment="1">
      <alignment horizontal="right"/>
    </xf>
    <xf numFmtId="3" fontId="91" fillId="7" borderId="20" xfId="5" applyNumberFormat="1" applyFont="1" applyFill="1" applyBorder="1" applyAlignment="1">
      <alignment horizontal="right"/>
    </xf>
    <xf numFmtId="3" fontId="49" fillId="0" borderId="23" xfId="5" applyNumberFormat="1" applyFont="1" applyBorder="1" applyAlignment="1">
      <alignment horizontal="center" wrapText="1"/>
    </xf>
    <xf numFmtId="3" fontId="42" fillId="4" borderId="41" xfId="5" applyNumberFormat="1" applyFont="1" applyFill="1" applyBorder="1" applyAlignment="1">
      <alignment horizontal="right"/>
    </xf>
    <xf numFmtId="3" fontId="85" fillId="7" borderId="15" xfId="5" applyNumberFormat="1" applyFont="1" applyFill="1" applyBorder="1" applyAlignment="1">
      <alignment horizontal="center" wrapText="1"/>
    </xf>
    <xf numFmtId="3" fontId="42" fillId="4" borderId="10" xfId="5" applyNumberFormat="1" applyFont="1" applyFill="1" applyBorder="1" applyAlignment="1">
      <alignment horizontal="right"/>
    </xf>
    <xf numFmtId="3" fontId="42" fillId="4" borderId="13" xfId="5" applyNumberFormat="1" applyFont="1" applyFill="1" applyBorder="1" applyAlignment="1">
      <alignment horizontal="right"/>
    </xf>
    <xf numFmtId="3" fontId="42" fillId="0" borderId="4" xfId="5" applyNumberFormat="1" applyFont="1" applyBorder="1" applyAlignment="1">
      <alignment horizontal="right"/>
    </xf>
    <xf numFmtId="3" fontId="42" fillId="0" borderId="4" xfId="0" applyNumberFormat="1" applyFont="1" applyBorder="1" applyAlignment="1">
      <alignment horizontal="right"/>
    </xf>
    <xf numFmtId="3" fontId="42" fillId="0" borderId="23" xfId="0" applyNumberFormat="1" applyFont="1" applyBorder="1" applyAlignment="1">
      <alignment horizontal="right"/>
    </xf>
    <xf numFmtId="3" fontId="42" fillId="0" borderId="12" xfId="5" applyNumberFormat="1" applyFont="1" applyBorder="1" applyAlignment="1">
      <alignment horizontal="right"/>
    </xf>
    <xf numFmtId="3" fontId="42" fillId="0" borderId="12" xfId="0" applyNumberFormat="1" applyFont="1" applyBorder="1" applyAlignment="1">
      <alignment horizontal="right"/>
    </xf>
    <xf numFmtId="3" fontId="42" fillId="0" borderId="13" xfId="0" applyNumberFormat="1" applyFont="1" applyBorder="1" applyAlignment="1">
      <alignment horizontal="right"/>
    </xf>
    <xf numFmtId="3" fontId="42" fillId="0" borderId="52" xfId="5" applyNumberFormat="1" applyFont="1" applyBorder="1" applyAlignment="1">
      <alignment horizontal="right"/>
    </xf>
    <xf numFmtId="3" fontId="42" fillId="0" borderId="52" xfId="0" applyNumberFormat="1" applyFont="1" applyBorder="1" applyAlignment="1">
      <alignment horizontal="right"/>
    </xf>
    <xf numFmtId="3" fontId="42" fillId="0" borderId="40" xfId="0" applyNumberFormat="1" applyFont="1" applyBorder="1" applyAlignment="1">
      <alignment horizontal="right"/>
    </xf>
    <xf numFmtId="3" fontId="91" fillId="7" borderId="5" xfId="5" applyNumberFormat="1" applyFont="1" applyFill="1" applyBorder="1" applyAlignment="1">
      <alignment horizontal="right"/>
    </xf>
    <xf numFmtId="3" fontId="91" fillId="7" borderId="5" xfId="0" applyNumberFormat="1" applyFont="1" applyFill="1" applyBorder="1" applyAlignment="1">
      <alignment horizontal="right"/>
    </xf>
    <xf numFmtId="3" fontId="91" fillId="7" borderId="15" xfId="0" applyNumberFormat="1" applyFont="1" applyFill="1" applyBorder="1" applyAlignment="1">
      <alignment horizontal="right"/>
    </xf>
    <xf numFmtId="3" fontId="42" fillId="0" borderId="4" xfId="5" quotePrefix="1" applyNumberFormat="1" applyFont="1" applyBorder="1" applyAlignment="1">
      <alignment horizontal="right"/>
    </xf>
    <xf numFmtId="3" fontId="42" fillId="0" borderId="12" xfId="5" quotePrefix="1" applyNumberFormat="1" applyFont="1" applyBorder="1" applyAlignment="1">
      <alignment horizontal="right"/>
    </xf>
    <xf numFmtId="3" fontId="42" fillId="0" borderId="52" xfId="5" quotePrefix="1" applyNumberFormat="1" applyFont="1" applyBorder="1" applyAlignment="1">
      <alignment horizontal="right"/>
    </xf>
    <xf numFmtId="3" fontId="91" fillId="7" borderId="5" xfId="5" quotePrefix="1" applyNumberFormat="1" applyFont="1" applyFill="1" applyBorder="1" applyAlignment="1">
      <alignment horizontal="right"/>
    </xf>
    <xf numFmtId="3" fontId="42" fillId="4" borderId="25" xfId="5" applyNumberFormat="1" applyFont="1" applyFill="1" applyBorder="1" applyAlignment="1">
      <alignment horizontal="right"/>
    </xf>
    <xf numFmtId="3" fontId="42" fillId="7" borderId="5" xfId="5" applyNumberFormat="1" applyFont="1" applyFill="1" applyBorder="1" applyAlignment="1">
      <alignment horizontal="right"/>
    </xf>
    <xf numFmtId="3" fontId="42" fillId="7" borderId="5" xfId="0" applyNumberFormat="1" applyFont="1" applyFill="1" applyBorder="1" applyAlignment="1">
      <alignment horizontal="right"/>
    </xf>
    <xf numFmtId="3" fontId="42" fillId="7" borderId="15" xfId="0" applyNumberFormat="1" applyFont="1" applyFill="1" applyBorder="1" applyAlignment="1">
      <alignment horizontal="right"/>
    </xf>
    <xf numFmtId="3" fontId="42" fillId="5" borderId="37" xfId="5" applyNumberFormat="1" applyFont="1" applyFill="1" applyBorder="1" applyAlignment="1">
      <alignment horizontal="right"/>
    </xf>
    <xf numFmtId="3" fontId="42" fillId="7" borderId="12" xfId="5" applyNumberFormat="1" applyFont="1" applyFill="1" applyBorder="1" applyAlignment="1">
      <alignment horizontal="right"/>
    </xf>
    <xf numFmtId="3" fontId="42" fillId="7" borderId="12" xfId="0" applyNumberFormat="1" applyFont="1" applyFill="1" applyBorder="1" applyAlignment="1">
      <alignment horizontal="right"/>
    </xf>
    <xf numFmtId="3" fontId="42" fillId="7" borderId="13" xfId="0" applyNumberFormat="1" applyFont="1" applyFill="1" applyBorder="1" applyAlignment="1">
      <alignment horizontal="right"/>
    </xf>
    <xf numFmtId="3" fontId="42" fillId="5" borderId="39" xfId="5" applyNumberFormat="1" applyFont="1" applyFill="1" applyBorder="1" applyAlignment="1">
      <alignment horizontal="right"/>
    </xf>
    <xf numFmtId="3" fontId="42" fillId="0" borderId="5" xfId="5" applyNumberFormat="1" applyFont="1" applyBorder="1" applyAlignment="1">
      <alignment horizontal="right"/>
    </xf>
    <xf numFmtId="3" fontId="42" fillId="0" borderId="5" xfId="0" applyNumberFormat="1" applyFont="1" applyBorder="1" applyAlignment="1">
      <alignment horizontal="right"/>
    </xf>
    <xf numFmtId="3" fontId="42" fillId="0" borderId="15" xfId="0" applyNumberFormat="1" applyFont="1" applyBorder="1" applyAlignment="1">
      <alignment horizontal="right"/>
    </xf>
    <xf numFmtId="3" fontId="42" fillId="0" borderId="6" xfId="5" applyNumberFormat="1" applyFont="1" applyBorder="1" applyAlignment="1">
      <alignment horizontal="right"/>
    </xf>
    <xf numFmtId="3" fontId="42" fillId="0" borderId="6" xfId="0" applyNumberFormat="1" applyFont="1" applyBorder="1" applyAlignment="1">
      <alignment horizontal="right"/>
    </xf>
    <xf numFmtId="3" fontId="42" fillId="0" borderId="53" xfId="0" applyNumberFormat="1" applyFont="1" applyBorder="1" applyAlignment="1">
      <alignment horizontal="right"/>
    </xf>
    <xf numFmtId="3" fontId="42" fillId="7" borderId="20" xfId="5" applyNumberFormat="1" applyFont="1" applyFill="1" applyBorder="1" applyAlignment="1">
      <alignment horizontal="right"/>
    </xf>
    <xf numFmtId="3" fontId="42" fillId="4" borderId="62" xfId="5" applyNumberFormat="1" applyFont="1" applyFill="1" applyBorder="1" applyAlignment="1">
      <alignment horizontal="right"/>
    </xf>
    <xf numFmtId="3" fontId="42" fillId="4" borderId="56" xfId="5" applyNumberFormat="1" applyFont="1" applyFill="1" applyBorder="1" applyAlignment="1">
      <alignment horizontal="right"/>
    </xf>
    <xf numFmtId="3" fontId="42" fillId="0" borderId="43" xfId="5" applyNumberFormat="1" applyFont="1" applyBorder="1" applyAlignment="1">
      <alignment horizontal="right"/>
    </xf>
    <xf numFmtId="3" fontId="42" fillId="0" borderId="43" xfId="0" applyNumberFormat="1" applyFont="1" applyBorder="1" applyAlignment="1">
      <alignment horizontal="right"/>
    </xf>
    <xf numFmtId="3" fontId="42" fillId="0" borderId="55" xfId="0" applyNumberFormat="1" applyFont="1" applyBorder="1" applyAlignment="1">
      <alignment horizontal="right"/>
    </xf>
    <xf numFmtId="3" fontId="42" fillId="4" borderId="51" xfId="5" applyNumberFormat="1" applyFont="1" applyFill="1" applyBorder="1" applyAlignment="1">
      <alignment horizontal="right"/>
    </xf>
    <xf numFmtId="3" fontId="48" fillId="0" borderId="26" xfId="0" applyNumberFormat="1" applyFont="1" applyBorder="1" applyAlignment="1">
      <alignment horizontal="right"/>
    </xf>
    <xf numFmtId="3" fontId="48" fillId="0" borderId="21" xfId="0" applyNumberFormat="1" applyFont="1" applyBorder="1" applyAlignment="1">
      <alignment horizontal="right"/>
    </xf>
    <xf numFmtId="3" fontId="42" fillId="0" borderId="72" xfId="5" applyNumberFormat="1" applyFont="1" applyBorder="1" applyAlignment="1">
      <alignment horizontal="right"/>
    </xf>
    <xf numFmtId="3" fontId="48" fillId="4" borderId="26" xfId="0" applyNumberFormat="1" applyFont="1" applyFill="1" applyBorder="1" applyAlignment="1">
      <alignment horizontal="right"/>
    </xf>
    <xf numFmtId="3" fontId="48" fillId="4" borderId="40" xfId="0" applyNumberFormat="1" applyFont="1" applyFill="1" applyBorder="1" applyAlignment="1">
      <alignment horizontal="right"/>
    </xf>
    <xf numFmtId="3" fontId="48" fillId="4" borderId="74" xfId="5" applyNumberFormat="1" applyFont="1" applyFill="1" applyBorder="1" applyAlignment="1">
      <alignment horizontal="right"/>
    </xf>
    <xf numFmtId="3" fontId="96" fillId="7" borderId="52" xfId="0" applyNumberFormat="1" applyFont="1" applyFill="1" applyBorder="1" applyAlignment="1">
      <alignment horizontal="right"/>
    </xf>
    <xf numFmtId="3" fontId="96" fillId="7" borderId="64" xfId="0" applyNumberFormat="1" applyFont="1" applyFill="1" applyBorder="1" applyAlignment="1">
      <alignment horizontal="right"/>
    </xf>
    <xf numFmtId="3" fontId="96" fillId="7" borderId="74" xfId="5" applyNumberFormat="1" applyFont="1" applyFill="1" applyBorder="1" applyAlignment="1">
      <alignment horizontal="right"/>
    </xf>
    <xf numFmtId="3" fontId="42" fillId="0" borderId="7" xfId="0" applyNumberFormat="1" applyFont="1" applyBorder="1" applyAlignment="1">
      <alignment horizontal="right"/>
    </xf>
    <xf numFmtId="3" fontId="48" fillId="4" borderId="73" xfId="5" applyNumberFormat="1" applyFont="1" applyFill="1" applyBorder="1" applyAlignment="1">
      <alignment horizontal="right"/>
    </xf>
    <xf numFmtId="3" fontId="42" fillId="0" borderId="26" xfId="5" applyNumberFormat="1" applyFont="1" applyBorder="1" applyAlignment="1">
      <alignment horizontal="right"/>
    </xf>
    <xf numFmtId="3" fontId="42" fillId="0" borderId="26" xfId="0" applyNumberFormat="1" applyFont="1" applyBorder="1" applyAlignment="1">
      <alignment horizontal="right"/>
    </xf>
    <xf numFmtId="3" fontId="42" fillId="0" borderId="21" xfId="0" applyNumberFormat="1" applyFont="1" applyBorder="1" applyAlignment="1">
      <alignment horizontal="right"/>
    </xf>
    <xf numFmtId="3" fontId="42" fillId="4" borderId="72" xfId="5" applyNumberFormat="1" applyFont="1" applyFill="1" applyBorder="1" applyAlignment="1">
      <alignment horizontal="right"/>
    </xf>
    <xf numFmtId="3" fontId="42" fillId="4" borderId="42" xfId="5" applyNumberFormat="1" applyFont="1" applyFill="1" applyBorder="1" applyAlignment="1">
      <alignment horizontal="right"/>
    </xf>
    <xf numFmtId="3" fontId="49" fillId="0" borderId="23" xfId="0" applyNumberFormat="1" applyFont="1" applyBorder="1" applyAlignment="1">
      <alignment horizontal="right"/>
    </xf>
    <xf numFmtId="3" fontId="49" fillId="4" borderId="37" xfId="5" applyNumberFormat="1" applyFont="1" applyFill="1" applyBorder="1" applyAlignment="1">
      <alignment horizontal="right"/>
    </xf>
    <xf numFmtId="3" fontId="49" fillId="0" borderId="43" xfId="5" applyNumberFormat="1" applyFont="1" applyBorder="1" applyAlignment="1">
      <alignment horizontal="right"/>
    </xf>
    <xf numFmtId="3" fontId="49" fillId="0" borderId="43" xfId="0" applyNumberFormat="1" applyFont="1" applyBorder="1" applyAlignment="1">
      <alignment horizontal="right"/>
    </xf>
    <xf numFmtId="3" fontId="49" fillId="0" borderId="55" xfId="0" applyNumberFormat="1" applyFont="1" applyBorder="1" applyAlignment="1">
      <alignment horizontal="right"/>
    </xf>
    <xf numFmtId="3" fontId="49" fillId="4" borderId="20" xfId="5" applyNumberFormat="1" applyFont="1" applyFill="1" applyBorder="1" applyAlignment="1">
      <alignment horizontal="right"/>
    </xf>
    <xf numFmtId="3" fontId="49" fillId="0" borderId="13" xfId="0" applyNumberFormat="1" applyFont="1" applyBorder="1" applyAlignment="1">
      <alignment horizontal="right"/>
    </xf>
    <xf numFmtId="3" fontId="85" fillId="7" borderId="40" xfId="0" applyNumberFormat="1" applyFont="1" applyFill="1" applyBorder="1" applyAlignment="1">
      <alignment horizontal="right"/>
    </xf>
    <xf numFmtId="3" fontId="85" fillId="7" borderId="20" xfId="5" applyNumberFormat="1" applyFont="1" applyFill="1" applyBorder="1" applyAlignment="1">
      <alignment horizontal="right"/>
    </xf>
    <xf numFmtId="3" fontId="42" fillId="0" borderId="76" xfId="5" applyNumberFormat="1" applyFont="1" applyBorder="1" applyAlignment="1">
      <alignment horizontal="right"/>
    </xf>
    <xf numFmtId="3" fontId="48" fillId="4" borderId="12" xfId="0" applyNumberFormat="1" applyFont="1" applyFill="1" applyBorder="1"/>
    <xf numFmtId="3" fontId="48" fillId="4" borderId="52" xfId="0" applyNumberFormat="1" applyFont="1" applyFill="1" applyBorder="1"/>
    <xf numFmtId="3" fontId="48" fillId="4" borderId="64" xfId="0" applyNumberFormat="1" applyFont="1" applyFill="1" applyBorder="1"/>
    <xf numFmtId="3" fontId="48" fillId="4" borderId="74" xfId="0" applyNumberFormat="1" applyFont="1" applyFill="1" applyBorder="1"/>
    <xf numFmtId="3" fontId="96" fillId="7" borderId="5" xfId="0" applyNumberFormat="1" applyFont="1" applyFill="1" applyBorder="1"/>
    <xf numFmtId="3" fontId="96" fillId="7" borderId="60" xfId="0" applyNumberFormat="1" applyFont="1" applyFill="1" applyBorder="1"/>
    <xf numFmtId="3" fontId="96" fillId="7" borderId="76" xfId="0" applyNumberFormat="1" applyFont="1" applyFill="1" applyBorder="1"/>
    <xf numFmtId="3" fontId="96" fillId="7" borderId="12" xfId="0" applyNumberFormat="1" applyFont="1" applyFill="1" applyBorder="1"/>
    <xf numFmtId="3" fontId="96" fillId="7" borderId="56" xfId="0" applyNumberFormat="1" applyFont="1" applyFill="1" applyBorder="1"/>
    <xf numFmtId="3" fontId="96" fillId="7" borderId="77" xfId="0" applyNumberFormat="1" applyFont="1" applyFill="1" applyBorder="1"/>
    <xf numFmtId="3" fontId="48" fillId="0" borderId="5" xfId="0" applyNumberFormat="1" applyFont="1" applyBorder="1"/>
    <xf numFmtId="3" fontId="48" fillId="0" borderId="60" xfId="0" applyNumberFormat="1" applyFont="1" applyBorder="1"/>
    <xf numFmtId="3" fontId="48" fillId="0" borderId="76" xfId="5" applyNumberFormat="1" applyFont="1" applyBorder="1" applyAlignment="1">
      <alignment horizontal="right"/>
    </xf>
    <xf numFmtId="3" fontId="48" fillId="4" borderId="56" xfId="0" applyNumberFormat="1" applyFont="1" applyFill="1" applyBorder="1"/>
    <xf numFmtId="3" fontId="48" fillId="4" borderId="77" xfId="0" applyNumberFormat="1" applyFont="1" applyFill="1" applyBorder="1"/>
    <xf numFmtId="3" fontId="4" fillId="0" borderId="9" xfId="0" applyNumberFormat="1" applyFont="1" applyBorder="1"/>
    <xf numFmtId="3" fontId="4" fillId="0" borderId="43" xfId="0" applyNumberFormat="1" applyFont="1" applyBorder="1"/>
    <xf numFmtId="3" fontId="4" fillId="0" borderId="61" xfId="0" applyNumberFormat="1" applyFont="1" applyBorder="1"/>
    <xf numFmtId="3" fontId="4" fillId="0" borderId="56" xfId="0" applyNumberFormat="1" applyFont="1" applyBorder="1"/>
    <xf numFmtId="3" fontId="12" fillId="0" borderId="15" xfId="0" applyNumberFormat="1" applyFont="1" applyBorder="1" applyAlignment="1">
      <alignment horizontal="right"/>
    </xf>
    <xf numFmtId="3" fontId="12" fillId="0" borderId="52" xfId="0" applyNumberFormat="1" applyFont="1" applyBorder="1"/>
    <xf numFmtId="3" fontId="39" fillId="8" borderId="15" xfId="5" applyNumberFormat="1" applyFont="1" applyFill="1" applyBorder="1" applyAlignment="1">
      <alignment horizontal="right"/>
    </xf>
    <xf numFmtId="3" fontId="39" fillId="8" borderId="13" xfId="5" applyNumberFormat="1" applyFont="1" applyFill="1" applyBorder="1" applyAlignment="1">
      <alignment horizontal="right"/>
    </xf>
    <xf numFmtId="3" fontId="88" fillId="8" borderId="55" xfId="5" applyNumberFormat="1" applyFont="1" applyFill="1" applyBorder="1" applyAlignment="1">
      <alignment horizontal="right"/>
    </xf>
    <xf numFmtId="3" fontId="94" fillId="7" borderId="0" xfId="0" applyNumberFormat="1" applyFont="1" applyFill="1"/>
    <xf numFmtId="3" fontId="107" fillId="8" borderId="23" xfId="5" applyNumberFormat="1" applyFont="1" applyFill="1" applyBorder="1" applyAlignment="1">
      <alignment horizontal="right"/>
    </xf>
    <xf numFmtId="3" fontId="107" fillId="8" borderId="13" xfId="5" applyNumberFormat="1" applyFont="1" applyFill="1" applyBorder="1" applyAlignment="1">
      <alignment horizontal="right"/>
    </xf>
    <xf numFmtId="3" fontId="107" fillId="7" borderId="5" xfId="5" applyNumberFormat="1" applyFont="1" applyFill="1" applyBorder="1" applyAlignment="1">
      <alignment horizontal="right"/>
    </xf>
    <xf numFmtId="3" fontId="107" fillId="8" borderId="15" xfId="5" applyNumberFormat="1" applyFont="1" applyFill="1" applyBorder="1" applyAlignment="1">
      <alignment horizontal="right"/>
    </xf>
    <xf numFmtId="3" fontId="88" fillId="8" borderId="13" xfId="5" applyNumberFormat="1" applyFont="1" applyFill="1" applyBorder="1" applyAlignment="1">
      <alignment horizontal="right"/>
    </xf>
    <xf numFmtId="3" fontId="39" fillId="3" borderId="15" xfId="5" applyNumberFormat="1" applyFont="1" applyFill="1" applyBorder="1" applyAlignment="1">
      <alignment horizontal="right"/>
    </xf>
    <xf numFmtId="3" fontId="88" fillId="7" borderId="6" xfId="5" applyNumberFormat="1" applyFont="1" applyFill="1" applyBorder="1" applyAlignment="1">
      <alignment horizontal="right"/>
    </xf>
    <xf numFmtId="3" fontId="39" fillId="0" borderId="70" xfId="5" applyNumberFormat="1" applyFont="1" applyBorder="1" applyAlignment="1">
      <alignment horizontal="right"/>
    </xf>
    <xf numFmtId="3" fontId="7" fillId="3" borderId="12" xfId="0" applyNumberFormat="1" applyFont="1" applyFill="1" applyBorder="1" applyAlignment="1">
      <alignment horizontal="right"/>
    </xf>
    <xf numFmtId="3" fontId="42" fillId="0" borderId="4" xfId="5" applyNumberFormat="1" applyFont="1" applyBorder="1" applyAlignment="1">
      <alignment horizontal="left" vertical="center" wrapText="1"/>
    </xf>
    <xf numFmtId="3" fontId="42" fillId="0" borderId="12" xfId="5" applyNumberFormat="1" applyFont="1" applyBorder="1" applyAlignment="1">
      <alignment horizontal="left" vertical="center" wrapText="1"/>
    </xf>
    <xf numFmtId="3" fontId="42" fillId="0" borderId="5" xfId="5" applyNumberFormat="1" applyFont="1" applyBorder="1" applyAlignment="1">
      <alignment horizontal="left" vertical="center" wrapText="1"/>
    </xf>
    <xf numFmtId="3" fontId="88" fillId="7" borderId="4" xfId="5" applyNumberFormat="1" applyFont="1" applyFill="1" applyBorder="1" applyAlignment="1">
      <alignment horizontal="left" vertical="center" wrapText="1"/>
    </xf>
    <xf numFmtId="3" fontId="88" fillId="7" borderId="4" xfId="5" applyNumberFormat="1" applyFont="1" applyFill="1" applyBorder="1" applyAlignment="1">
      <alignment horizontal="right" vertical="center" wrapText="1"/>
    </xf>
    <xf numFmtId="3" fontId="88" fillId="7" borderId="23" xfId="5" applyNumberFormat="1" applyFont="1" applyFill="1" applyBorder="1" applyAlignment="1">
      <alignment horizontal="right" vertical="center"/>
    </xf>
    <xf numFmtId="3" fontId="88" fillId="7" borderId="15" xfId="5" applyNumberFormat="1" applyFont="1" applyFill="1" applyBorder="1" applyAlignment="1">
      <alignment horizontal="right" vertical="center"/>
    </xf>
    <xf numFmtId="3" fontId="42" fillId="0" borderId="70" xfId="5" applyNumberFormat="1" applyFont="1" applyBorder="1" applyAlignment="1">
      <alignment horizontal="right" vertical="center"/>
    </xf>
    <xf numFmtId="3" fontId="7" fillId="3" borderId="13" xfId="0" applyNumberFormat="1" applyFont="1" applyFill="1" applyBorder="1" applyAlignment="1">
      <alignment horizontal="right"/>
    </xf>
    <xf numFmtId="3" fontId="40" fillId="0" borderId="5" xfId="5" applyNumberFormat="1" applyFont="1" applyBorder="1" applyAlignment="1">
      <alignment horizontal="center" vertical="center" wrapText="1"/>
    </xf>
    <xf numFmtId="3" fontId="40" fillId="0" borderId="15" xfId="5" applyNumberFormat="1" applyFont="1" applyBorder="1" applyAlignment="1">
      <alignment horizontal="center" vertical="center"/>
    </xf>
    <xf numFmtId="3" fontId="39" fillId="8" borderId="23" xfId="5" applyNumberFormat="1" applyFont="1" applyFill="1" applyBorder="1" applyAlignment="1">
      <alignment horizontal="right"/>
    </xf>
    <xf numFmtId="3" fontId="88" fillId="8" borderId="23" xfId="5" applyNumberFormat="1" applyFont="1" applyFill="1" applyBorder="1" applyAlignment="1">
      <alignment horizontal="right"/>
    </xf>
    <xf numFmtId="3" fontId="107" fillId="8" borderId="12" xfId="5" applyNumberFormat="1" applyFont="1" applyFill="1" applyBorder="1" applyAlignment="1">
      <alignment horizontal="right"/>
    </xf>
    <xf numFmtId="3" fontId="40" fillId="0" borderId="5" xfId="5" applyNumberFormat="1" applyFont="1" applyBorder="1" applyAlignment="1">
      <alignment horizontal="right" vertical="center" wrapText="1"/>
    </xf>
    <xf numFmtId="3" fontId="89" fillId="7" borderId="4" xfId="5" applyNumberFormat="1" applyFont="1" applyFill="1" applyBorder="1" applyAlignment="1">
      <alignment horizontal="right" vertical="center" wrapText="1"/>
    </xf>
    <xf numFmtId="3" fontId="88" fillId="8" borderId="23" xfId="5" applyNumberFormat="1" applyFont="1" applyFill="1" applyBorder="1" applyAlignment="1">
      <alignment horizontal="right" vertical="center"/>
    </xf>
    <xf numFmtId="3" fontId="48" fillId="0" borderId="70" xfId="5" applyNumberFormat="1" applyFont="1" applyBorder="1" applyAlignment="1">
      <alignment horizontal="right"/>
    </xf>
    <xf numFmtId="3" fontId="95" fillId="7" borderId="4" xfId="0" applyNumberFormat="1" applyFont="1" applyFill="1" applyBorder="1"/>
    <xf numFmtId="3" fontId="95" fillId="7" borderId="23" xfId="0" applyNumberFormat="1" applyFont="1" applyFill="1" applyBorder="1"/>
    <xf numFmtId="3" fontId="95" fillId="7" borderId="12" xfId="0" applyNumberFormat="1" applyFont="1" applyFill="1" applyBorder="1"/>
    <xf numFmtId="3" fontId="95" fillId="7" borderId="13" xfId="0" applyNumberFormat="1" applyFont="1" applyFill="1" applyBorder="1"/>
    <xf numFmtId="3" fontId="49" fillId="0" borderId="0" xfId="0" applyNumberFormat="1" applyFont="1" applyAlignment="1">
      <alignment horizontal="right"/>
    </xf>
    <xf numFmtId="3" fontId="7" fillId="0" borderId="52" xfId="0" applyNumberFormat="1" applyFont="1" applyBorder="1"/>
    <xf numFmtId="3" fontId="79" fillId="0" borderId="0" xfId="0" applyNumberFormat="1" applyFont="1"/>
    <xf numFmtId="3" fontId="109" fillId="0" borderId="0" xfId="0" applyNumberFormat="1" applyFont="1"/>
    <xf numFmtId="3" fontId="29" fillId="0" borderId="23" xfId="3" applyNumberFormat="1" applyFont="1" applyBorder="1"/>
    <xf numFmtId="3" fontId="31" fillId="0" borderId="4" xfId="3" applyNumberFormat="1" applyFont="1" applyBorder="1"/>
    <xf numFmtId="3" fontId="29" fillId="0" borderId="23" xfId="2" applyNumberFormat="1" applyFont="1" applyBorder="1"/>
    <xf numFmtId="3" fontId="31" fillId="0" borderId="4" xfId="2" applyNumberFormat="1" applyFont="1" applyBorder="1"/>
    <xf numFmtId="3" fontId="31" fillId="0" borderId="23" xfId="2" applyNumberFormat="1" applyFont="1" applyBorder="1"/>
    <xf numFmtId="3" fontId="29" fillId="0" borderId="13" xfId="2" applyNumberFormat="1" applyFont="1" applyBorder="1"/>
    <xf numFmtId="3" fontId="31" fillId="0" borderId="12" xfId="2" applyNumberFormat="1" applyFont="1" applyBorder="1"/>
    <xf numFmtId="3" fontId="29" fillId="0" borderId="40" xfId="2" applyNumberFormat="1" applyFont="1" applyBorder="1"/>
    <xf numFmtId="3" fontId="29" fillId="0" borderId="52" xfId="2" applyNumberFormat="1" applyFont="1" applyBorder="1"/>
    <xf numFmtId="3" fontId="31" fillId="0" borderId="10" xfId="3" applyNumberFormat="1" applyFont="1" applyBorder="1"/>
    <xf numFmtId="3" fontId="31" fillId="0" borderId="9" xfId="3" applyNumberFormat="1" applyFont="1" applyBorder="1"/>
    <xf numFmtId="3" fontId="31" fillId="0" borderId="23" xfId="3" applyNumberFormat="1" applyFont="1" applyBorder="1"/>
    <xf numFmtId="3" fontId="29" fillId="0" borderId="13" xfId="3" applyNumberFormat="1" applyFont="1" applyBorder="1"/>
    <xf numFmtId="3" fontId="31" fillId="0" borderId="12" xfId="3" applyNumberFormat="1" applyFont="1" applyBorder="1"/>
    <xf numFmtId="3" fontId="29" fillId="0" borderId="22" xfId="3" applyNumberFormat="1" applyFont="1" applyBorder="1"/>
    <xf numFmtId="3" fontId="29" fillId="0" borderId="26" xfId="3" applyNumberFormat="1" applyFont="1" applyBorder="1"/>
    <xf numFmtId="3" fontId="31" fillId="0" borderId="53" xfId="3" applyNumberFormat="1" applyFont="1" applyBorder="1"/>
    <xf numFmtId="3" fontId="31" fillId="0" borderId="6" xfId="3" applyNumberFormat="1" applyFont="1" applyBorder="1"/>
    <xf numFmtId="3" fontId="34" fillId="0" borderId="22" xfId="3" applyNumberFormat="1" applyFont="1" applyBorder="1"/>
    <xf numFmtId="3" fontId="34" fillId="0" borderId="26" xfId="3" applyNumberFormat="1" applyFont="1" applyBorder="1"/>
    <xf numFmtId="3" fontId="0" fillId="0" borderId="20" xfId="0" applyNumberFormat="1" applyBorder="1"/>
    <xf numFmtId="3" fontId="68" fillId="0" borderId="0" xfId="0" applyNumberFormat="1" applyFont="1"/>
    <xf numFmtId="49" fontId="136" fillId="0" borderId="54" xfId="0" applyNumberFormat="1" applyFont="1" applyBorder="1" applyAlignment="1">
      <alignment horizontal="left" wrapText="1"/>
    </xf>
    <xf numFmtId="0" fontId="136" fillId="0" borderId="43" xfId="0" applyFont="1" applyBorder="1"/>
    <xf numFmtId="164" fontId="136" fillId="0" borderId="57" xfId="5" applyNumberFormat="1" applyFont="1" applyBorder="1" applyAlignment="1">
      <alignment horizontal="center" textRotation="90" wrapText="1"/>
    </xf>
    <xf numFmtId="164" fontId="136" fillId="0" borderId="43" xfId="5" applyNumberFormat="1" applyFont="1" applyBorder="1" applyAlignment="1">
      <alignment horizontal="center" textRotation="90" wrapText="1"/>
    </xf>
    <xf numFmtId="164" fontId="136" fillId="0" borderId="61" xfId="5" applyNumberFormat="1" applyFont="1" applyBorder="1" applyAlignment="1">
      <alignment horizontal="center"/>
    </xf>
    <xf numFmtId="49" fontId="49" fillId="7" borderId="14" xfId="0" applyNumberFormat="1" applyFont="1" applyFill="1" applyBorder="1" applyAlignment="1">
      <alignment horizontal="left" wrapText="1"/>
    </xf>
    <xf numFmtId="0" fontId="49" fillId="7" borderId="5" xfId="0" applyFont="1" applyFill="1" applyBorder="1"/>
    <xf numFmtId="3" fontId="49" fillId="7" borderId="5" xfId="5" applyNumberFormat="1" applyFont="1" applyFill="1" applyBorder="1" applyAlignment="1">
      <alignment horizontal="center" wrapText="1"/>
    </xf>
    <xf numFmtId="3" fontId="49" fillId="7" borderId="60" xfId="5" applyNumberFormat="1" applyFont="1" applyFill="1" applyBorder="1" applyAlignment="1">
      <alignment horizontal="right"/>
    </xf>
    <xf numFmtId="49" fontId="49" fillId="7" borderId="14" xfId="0" applyNumberFormat="1" applyFont="1" applyFill="1" applyBorder="1" applyAlignment="1">
      <alignment horizontal="center"/>
    </xf>
    <xf numFmtId="3" fontId="49" fillId="7" borderId="5" xfId="5" applyNumberFormat="1" applyFont="1" applyFill="1" applyBorder="1" applyAlignment="1">
      <alignment horizontal="right"/>
    </xf>
    <xf numFmtId="3" fontId="49" fillId="7" borderId="5" xfId="0" applyNumberFormat="1" applyFont="1" applyFill="1" applyBorder="1" applyAlignment="1">
      <alignment horizontal="right"/>
    </xf>
    <xf numFmtId="3" fontId="49" fillId="7" borderId="5" xfId="5" quotePrefix="1" applyNumberFormat="1" applyFont="1" applyFill="1" applyBorder="1" applyAlignment="1">
      <alignment horizontal="right"/>
    </xf>
    <xf numFmtId="49" fontId="49" fillId="7" borderId="19" xfId="0" applyNumberFormat="1" applyFont="1" applyFill="1" applyBorder="1" applyAlignment="1">
      <alignment horizontal="center"/>
    </xf>
    <xf numFmtId="0" fontId="49" fillId="7" borderId="6" xfId="0" applyFont="1" applyFill="1" applyBorder="1"/>
    <xf numFmtId="3" fontId="49" fillId="7" borderId="6" xfId="5" applyNumberFormat="1" applyFont="1" applyFill="1" applyBorder="1" applyAlignment="1">
      <alignment horizontal="right"/>
    </xf>
    <xf numFmtId="3" fontId="49" fillId="7" borderId="6" xfId="0" applyNumberFormat="1" applyFont="1" applyFill="1" applyBorder="1" applyAlignment="1">
      <alignment horizontal="right"/>
    </xf>
    <xf numFmtId="3" fontId="49" fillId="7" borderId="7" xfId="5" applyNumberFormat="1" applyFont="1" applyFill="1" applyBorder="1" applyAlignment="1">
      <alignment horizontal="right"/>
    </xf>
    <xf numFmtId="49" fontId="49" fillId="7" borderId="17" xfId="0" applyNumberFormat="1" applyFont="1" applyFill="1" applyBorder="1" applyAlignment="1">
      <alignment horizontal="center"/>
    </xf>
    <xf numFmtId="0" fontId="49" fillId="7" borderId="52" xfId="0" applyFont="1" applyFill="1" applyBorder="1"/>
    <xf numFmtId="3" fontId="49" fillId="7" borderId="66" xfId="5" applyNumberFormat="1" applyFont="1" applyFill="1" applyBorder="1" applyAlignment="1">
      <alignment horizontal="right"/>
    </xf>
    <xf numFmtId="3" fontId="49" fillId="7" borderId="52" xfId="5" applyNumberFormat="1" applyFont="1" applyFill="1" applyBorder="1" applyAlignment="1">
      <alignment horizontal="right"/>
    </xf>
    <xf numFmtId="3" fontId="49" fillId="7" borderId="52" xfId="0" applyNumberFormat="1" applyFont="1" applyFill="1" applyBorder="1" applyAlignment="1">
      <alignment horizontal="right"/>
    </xf>
    <xf numFmtId="49" fontId="2" fillId="7" borderId="43" xfId="0" applyNumberFormat="1" applyFont="1" applyFill="1" applyBorder="1"/>
    <xf numFmtId="0" fontId="50" fillId="7" borderId="43" xfId="0" applyFont="1" applyFill="1" applyBorder="1"/>
    <xf numFmtId="166" fontId="50" fillId="7" borderId="5" xfId="0" applyNumberFormat="1" applyFont="1" applyFill="1" applyBorder="1" applyAlignment="1">
      <alignment horizontal="right"/>
    </xf>
    <xf numFmtId="166" fontId="50" fillId="7" borderId="60" xfId="0" applyNumberFormat="1" applyFont="1" applyFill="1" applyBorder="1" applyAlignment="1">
      <alignment horizontal="right"/>
    </xf>
    <xf numFmtId="0" fontId="42" fillId="7" borderId="44" xfId="0" applyFont="1" applyFill="1" applyBorder="1"/>
    <xf numFmtId="166" fontId="42" fillId="7" borderId="0" xfId="0" applyNumberFormat="1" applyFont="1" applyFill="1"/>
    <xf numFmtId="49" fontId="2" fillId="7" borderId="12" xfId="0" applyNumberFormat="1" applyFont="1" applyFill="1" applyBorder="1"/>
    <xf numFmtId="0" fontId="50" fillId="7" borderId="12" xfId="0" applyFont="1" applyFill="1" applyBorder="1"/>
    <xf numFmtId="10" fontId="48" fillId="7" borderId="12" xfId="0" applyNumberFormat="1" applyFont="1" applyFill="1" applyBorder="1"/>
    <xf numFmtId="10" fontId="48" fillId="7" borderId="56" xfId="0" applyNumberFormat="1" applyFont="1" applyFill="1" applyBorder="1"/>
    <xf numFmtId="49" fontId="50" fillId="5" borderId="52" xfId="0" applyNumberFormat="1" applyFont="1" applyFill="1" applyBorder="1"/>
    <xf numFmtId="0" fontId="50" fillId="5" borderId="52" xfId="0" applyFont="1" applyFill="1" applyBorder="1"/>
    <xf numFmtId="3" fontId="50" fillId="5" borderId="52" xfId="0" applyNumberFormat="1" applyFont="1" applyFill="1" applyBorder="1" applyAlignment="1">
      <alignment horizontal="right"/>
    </xf>
    <xf numFmtId="3" fontId="13" fillId="0" borderId="20" xfId="0" applyNumberFormat="1" applyFont="1" applyBorder="1"/>
    <xf numFmtId="3" fontId="14" fillId="0" borderId="25" xfId="0" applyNumberFormat="1" applyFont="1" applyBorder="1"/>
    <xf numFmtId="3" fontId="14" fillId="0" borderId="20" xfId="0" applyNumberFormat="1" applyFont="1" applyBorder="1"/>
    <xf numFmtId="3" fontId="14" fillId="0" borderId="37" xfId="0" applyNumberFormat="1" applyFont="1" applyBorder="1"/>
    <xf numFmtId="3" fontId="7" fillId="0" borderId="25" xfId="0" applyNumberFormat="1" applyFont="1" applyBorder="1"/>
    <xf numFmtId="3" fontId="7" fillId="0" borderId="51" xfId="0" applyNumberFormat="1" applyFont="1" applyBorder="1"/>
    <xf numFmtId="3" fontId="0" fillId="0" borderId="45" xfId="0" applyNumberFormat="1" applyBorder="1"/>
    <xf numFmtId="3" fontId="0" fillId="0" borderId="1" xfId="0" applyNumberFormat="1" applyBorder="1"/>
    <xf numFmtId="3" fontId="7" fillId="0" borderId="1" xfId="0" applyNumberFormat="1" applyFont="1" applyBorder="1"/>
    <xf numFmtId="3" fontId="0" fillId="0" borderId="2" xfId="0" applyNumberFormat="1" applyBorder="1"/>
    <xf numFmtId="3" fontId="0" fillId="0" borderId="28" xfId="0" applyNumberFormat="1" applyBorder="1"/>
    <xf numFmtId="3" fontId="7" fillId="0" borderId="20" xfId="0" applyNumberFormat="1" applyFont="1" applyBorder="1"/>
    <xf numFmtId="3" fontId="0" fillId="0" borderId="3" xfId="0" applyNumberFormat="1" applyBorder="1"/>
    <xf numFmtId="3" fontId="0" fillId="0" borderId="50" xfId="0" applyNumberFormat="1" applyBorder="1"/>
    <xf numFmtId="3" fontId="7" fillId="0" borderId="9" xfId="0" applyNumberFormat="1" applyFont="1" applyBorder="1"/>
    <xf numFmtId="3" fontId="7" fillId="0" borderId="36" xfId="0" applyNumberFormat="1" applyFont="1" applyBorder="1"/>
    <xf numFmtId="3" fontId="0" fillId="0" borderId="9" xfId="0" applyNumberFormat="1" applyBorder="1"/>
    <xf numFmtId="3" fontId="8" fillId="0" borderId="2" xfId="0" applyNumberFormat="1" applyFont="1" applyBorder="1"/>
    <xf numFmtId="0" fontId="127" fillId="0" borderId="33" xfId="0" applyFont="1" applyBorder="1" applyAlignment="1">
      <alignment wrapText="1"/>
    </xf>
    <xf numFmtId="0" fontId="127" fillId="0" borderId="30" xfId="0" applyFont="1" applyBorder="1" applyAlignment="1">
      <alignment wrapText="1"/>
    </xf>
    <xf numFmtId="0" fontId="127" fillId="0" borderId="32" xfId="0" applyFont="1" applyBorder="1" applyAlignment="1">
      <alignment wrapText="1"/>
    </xf>
    <xf numFmtId="3" fontId="0" fillId="0" borderId="21" xfId="0" applyNumberFormat="1" applyBorder="1"/>
    <xf numFmtId="3" fontId="0" fillId="0" borderId="26" xfId="0" applyNumberFormat="1" applyBorder="1"/>
    <xf numFmtId="3" fontId="2" fillId="0" borderId="9" xfId="0" applyNumberFormat="1" applyFont="1" applyBorder="1"/>
    <xf numFmtId="3" fontId="2" fillId="0" borderId="62" xfId="0" applyNumberFormat="1" applyFont="1" applyBorder="1"/>
    <xf numFmtId="3" fontId="2" fillId="0" borderId="23" xfId="0" applyNumberFormat="1" applyFont="1" applyBorder="1"/>
    <xf numFmtId="3" fontId="2" fillId="0" borderId="4" xfId="0" applyNumberFormat="1" applyFont="1" applyBorder="1"/>
    <xf numFmtId="3" fontId="2" fillId="0" borderId="56" xfId="0" applyNumberFormat="1" applyFont="1" applyBorder="1"/>
    <xf numFmtId="3" fontId="2" fillId="0" borderId="13" xfId="0" applyNumberFormat="1" applyFont="1" applyBorder="1"/>
    <xf numFmtId="3" fontId="2" fillId="0" borderId="12" xfId="0" applyNumberFormat="1" applyFont="1" applyBorder="1"/>
    <xf numFmtId="3" fontId="1" fillId="0" borderId="21" xfId="0" applyNumberFormat="1" applyFont="1" applyBorder="1" applyAlignment="1">
      <alignment horizontal="center"/>
    </xf>
    <xf numFmtId="3" fontId="2" fillId="0" borderId="16" xfId="0" applyNumberFormat="1" applyFont="1" applyBorder="1"/>
    <xf numFmtId="3" fontId="2" fillId="0" borderId="11" xfId="0" applyNumberFormat="1" applyFont="1" applyBorder="1"/>
    <xf numFmtId="167" fontId="2" fillId="0" borderId="9" xfId="1" applyNumberFormat="1" applyBorder="1"/>
    <xf numFmtId="3" fontId="2" fillId="0" borderId="29" xfId="0" applyNumberFormat="1" applyFont="1" applyBorder="1"/>
    <xf numFmtId="3" fontId="2" fillId="0" borderId="38" xfId="0" applyNumberFormat="1" applyFont="1" applyBorder="1"/>
    <xf numFmtId="3" fontId="2" fillId="0" borderId="25" xfId="0" applyNumberFormat="1" applyFont="1" applyBorder="1"/>
    <xf numFmtId="3" fontId="2" fillId="0" borderId="39" xfId="0" applyNumberFormat="1" applyFont="1" applyBorder="1"/>
    <xf numFmtId="3" fontId="31" fillId="0" borderId="13" xfId="2" applyNumberFormat="1" applyFont="1" applyBorder="1"/>
    <xf numFmtId="3" fontId="68" fillId="0" borderId="20" xfId="0" applyNumberFormat="1" applyFont="1" applyBorder="1"/>
    <xf numFmtId="3" fontId="27" fillId="0" borderId="5" xfId="3" applyNumberFormat="1" applyFont="1" applyBorder="1"/>
    <xf numFmtId="3" fontId="0" fillId="0" borderId="36" xfId="0" applyNumberFormat="1" applyBorder="1"/>
    <xf numFmtId="1" fontId="137" fillId="0" borderId="14" xfId="3" applyNumberFormat="1" applyFont="1" applyBorder="1"/>
    <xf numFmtId="3" fontId="27" fillId="0" borderId="15" xfId="3" applyNumberFormat="1" applyFont="1" applyBorder="1"/>
    <xf numFmtId="3" fontId="29" fillId="0" borderId="53" xfId="3" applyNumberFormat="1" applyFont="1" applyBorder="1"/>
    <xf numFmtId="6" fontId="138" fillId="0" borderId="0" xfId="0" applyNumberFormat="1" applyFont="1"/>
    <xf numFmtId="1" fontId="139" fillId="0" borderId="11" xfId="3" applyNumberFormat="1" applyFont="1" applyBorder="1"/>
    <xf numFmtId="3" fontId="0" fillId="0" borderId="34" xfId="0" applyNumberFormat="1" applyBorder="1"/>
    <xf numFmtId="0" fontId="9" fillId="0" borderId="34" xfId="0" applyFont="1" applyBorder="1"/>
    <xf numFmtId="0" fontId="49" fillId="0" borderId="43" xfId="0" applyFont="1" applyBorder="1" applyAlignment="1">
      <alignment horizontal="right"/>
    </xf>
    <xf numFmtId="0" fontId="140" fillId="0" borderId="4" xfId="0" applyFont="1" applyBorder="1" applyAlignment="1">
      <alignment horizontal="left" wrapText="1"/>
    </xf>
    <xf numFmtId="0" fontId="49" fillId="0" borderId="20" xfId="0" applyFont="1" applyBorder="1"/>
    <xf numFmtId="0" fontId="50" fillId="0" borderId="0" xfId="0" applyFont="1" applyAlignment="1">
      <alignment wrapText="1"/>
    </xf>
    <xf numFmtId="0" fontId="128" fillId="0" borderId="36" xfId="0" applyFont="1" applyBorder="1" applyAlignment="1">
      <alignment horizontal="center"/>
    </xf>
    <xf numFmtId="3" fontId="0" fillId="0" borderId="60" xfId="0" applyNumberFormat="1" applyBorder="1"/>
    <xf numFmtId="3" fontId="0" fillId="0" borderId="5" xfId="0" applyNumberFormat="1" applyBorder="1"/>
    <xf numFmtId="0" fontId="9" fillId="0" borderId="20" xfId="0" applyFont="1" applyBorder="1" applyAlignment="1">
      <alignment horizontal="center" wrapText="1"/>
    </xf>
    <xf numFmtId="166" fontId="0" fillId="0" borderId="54" xfId="0" applyNumberFormat="1" applyBorder="1" applyAlignment="1">
      <alignment horizontal="left"/>
    </xf>
    <xf numFmtId="166" fontId="0" fillId="0" borderId="43" xfId="0" applyNumberFormat="1" applyBorder="1" applyAlignment="1">
      <alignment horizontal="left"/>
    </xf>
    <xf numFmtId="166" fontId="0" fillId="0" borderId="43" xfId="0" applyNumberFormat="1" applyBorder="1" applyAlignment="1">
      <alignment horizontal="right"/>
    </xf>
    <xf numFmtId="166" fontId="8" fillId="0" borderId="61" xfId="0" applyNumberFormat="1" applyFont="1" applyBorder="1" applyAlignment="1">
      <alignment horizontal="left"/>
    </xf>
    <xf numFmtId="166" fontId="0" fillId="0" borderId="66" xfId="0" applyNumberFormat="1" applyBorder="1"/>
    <xf numFmtId="166" fontId="0" fillId="0" borderId="3" xfId="0" applyNumberFormat="1" applyBorder="1" applyAlignment="1">
      <alignment horizontal="left"/>
    </xf>
    <xf numFmtId="166" fontId="0" fillId="0" borderId="29" xfId="0" applyNumberFormat="1" applyBorder="1" applyAlignment="1">
      <alignment horizontal="left"/>
    </xf>
    <xf numFmtId="166" fontId="0" fillId="0" borderId="50" xfId="0" applyNumberFormat="1" applyBorder="1" applyAlignment="1">
      <alignment horizontal="left"/>
    </xf>
    <xf numFmtId="166" fontId="0" fillId="0" borderId="80" xfId="0" applyNumberFormat="1" applyBorder="1"/>
    <xf numFmtId="166" fontId="55" fillId="0" borderId="0" xfId="0" applyNumberFormat="1" applyFont="1" applyAlignment="1">
      <alignment horizontal="center"/>
    </xf>
    <xf numFmtId="0" fontId="2" fillId="0" borderId="20" xfId="0" applyFont="1" applyBorder="1" applyAlignment="1">
      <alignment horizontal="left"/>
    </xf>
    <xf numFmtId="0" fontId="2" fillId="0" borderId="44" xfId="0" applyFont="1" applyBorder="1" applyAlignment="1">
      <alignment horizontal="left"/>
    </xf>
    <xf numFmtId="166" fontId="56" fillId="0" borderId="54" xfId="0" applyNumberFormat="1" applyFont="1" applyBorder="1" applyAlignment="1">
      <alignment horizontal="left" wrapText="1"/>
    </xf>
    <xf numFmtId="166" fontId="75" fillId="0" borderId="11" xfId="0" applyNumberFormat="1" applyFont="1" applyBorder="1" applyAlignment="1">
      <alignment horizontal="left" wrapText="1"/>
    </xf>
    <xf numFmtId="3" fontId="126" fillId="0" borderId="0" xfId="0" applyNumberFormat="1" applyFont="1"/>
    <xf numFmtId="166" fontId="0" fillId="0" borderId="14" xfId="0" applyNumberFormat="1" applyBorder="1" applyAlignment="1">
      <alignment wrapText="1"/>
    </xf>
    <xf numFmtId="0" fontId="5" fillId="0" borderId="0" xfId="0" applyFont="1" applyBorder="1" applyAlignment="1">
      <alignment wrapText="1"/>
    </xf>
    <xf numFmtId="164" fontId="40" fillId="0" borderId="0" xfId="5" applyNumberFormat="1" applyFont="1" applyBorder="1" applyAlignment="1">
      <alignment horizontal="center" wrapText="1"/>
    </xf>
    <xf numFmtId="164" fontId="40" fillId="0" borderId="0" xfId="5" applyNumberFormat="1" applyFont="1" applyBorder="1" applyAlignment="1">
      <alignment horizontal="center"/>
    </xf>
    <xf numFmtId="164" fontId="40" fillId="0" borderId="8" xfId="5" applyNumberFormat="1" applyFont="1" applyBorder="1" applyAlignment="1">
      <alignment horizontal="center" wrapText="1"/>
    </xf>
    <xf numFmtId="164" fontId="141" fillId="0" borderId="29" xfId="5" applyNumberFormat="1" applyFont="1" applyBorder="1" applyAlignment="1">
      <alignment horizontal="center" textRotation="90" wrapText="1"/>
    </xf>
    <xf numFmtId="164" fontId="141" fillId="0" borderId="4" xfId="5" applyNumberFormat="1" applyFont="1" applyBorder="1" applyAlignment="1">
      <alignment horizontal="center" textRotation="90" wrapText="1"/>
    </xf>
    <xf numFmtId="164" fontId="141" fillId="0" borderId="23" xfId="5" applyNumberFormat="1" applyFont="1" applyBorder="1" applyAlignment="1">
      <alignment horizontal="center"/>
    </xf>
    <xf numFmtId="0" fontId="7" fillId="0" borderId="62" xfId="0" applyFont="1" applyBorder="1" applyAlignment="1">
      <alignment horizontal="center" wrapText="1"/>
    </xf>
    <xf numFmtId="0" fontId="0" fillId="0" borderId="3" xfId="0" applyBorder="1"/>
    <xf numFmtId="0" fontId="0" fillId="0" borderId="25" xfId="0" applyBorder="1"/>
    <xf numFmtId="0" fontId="7" fillId="0" borderId="79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7" fillId="0" borderId="79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7" fillId="0" borderId="63" xfId="0" applyFon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63" xfId="0" applyBorder="1" applyAlignment="1">
      <alignment horizontal="center" wrapText="1"/>
    </xf>
    <xf numFmtId="0" fontId="0" fillId="0" borderId="47" xfId="0" applyBorder="1" applyAlignment="1">
      <alignment horizontal="center"/>
    </xf>
    <xf numFmtId="0" fontId="0" fillId="0" borderId="63" xfId="0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0" fillId="0" borderId="0" xfId="0"/>
    <xf numFmtId="0" fontId="1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29" xfId="0" applyBorder="1" applyAlignment="1">
      <alignment horizontal="center"/>
    </xf>
    <xf numFmtId="49" fontId="80" fillId="4" borderId="8" xfId="0" applyNumberFormat="1" applyFont="1" applyFill="1" applyBorder="1" applyAlignment="1">
      <alignment horizontal="center"/>
    </xf>
    <xf numFmtId="0" fontId="80" fillId="4" borderId="9" xfId="0" applyFont="1" applyFill="1" applyBorder="1"/>
    <xf numFmtId="0" fontId="81" fillId="0" borderId="31" xfId="0" applyFont="1" applyBorder="1" applyAlignment="1">
      <alignment horizontal="center" wrapText="1"/>
    </xf>
    <xf numFmtId="0" fontId="108" fillId="0" borderId="30" xfId="0" applyFont="1" applyBorder="1" applyAlignment="1">
      <alignment horizontal="center"/>
    </xf>
    <xf numFmtId="0" fontId="108" fillId="0" borderId="32" xfId="0" applyFont="1" applyBorder="1" applyAlignment="1">
      <alignment horizontal="center"/>
    </xf>
    <xf numFmtId="49" fontId="80" fillId="3" borderId="33" xfId="0" applyNumberFormat="1" applyFont="1" applyFill="1" applyBorder="1" applyAlignment="1">
      <alignment horizontal="center" wrapText="1"/>
    </xf>
    <xf numFmtId="0" fontId="79" fillId="3" borderId="67" xfId="0" applyFont="1" applyFill="1" applyBorder="1" applyAlignment="1">
      <alignment horizontal="center" wrapText="1"/>
    </xf>
    <xf numFmtId="49" fontId="80" fillId="3" borderId="33" xfId="0" applyNumberFormat="1" applyFont="1" applyFill="1" applyBorder="1" applyAlignment="1">
      <alignment horizontal="center"/>
    </xf>
    <xf numFmtId="0" fontId="79" fillId="0" borderId="1" xfId="0" applyFont="1" applyBorder="1" applyAlignment="1">
      <alignment horizontal="center"/>
    </xf>
    <xf numFmtId="0" fontId="80" fillId="3" borderId="19" xfId="0" applyFont="1" applyFill="1" applyBorder="1" applyAlignment="1">
      <alignment wrapText="1"/>
    </xf>
    <xf numFmtId="0" fontId="79" fillId="3" borderId="6" xfId="0" applyFont="1" applyFill="1" applyBorder="1" applyAlignment="1">
      <alignment wrapText="1"/>
    </xf>
    <xf numFmtId="0" fontId="80" fillId="3" borderId="49" xfId="0" applyFont="1" applyFill="1" applyBorder="1" applyAlignment="1">
      <alignment horizontal="center"/>
    </xf>
    <xf numFmtId="0" fontId="80" fillId="3" borderId="57" xfId="0" applyFont="1" applyFill="1" applyBorder="1"/>
    <xf numFmtId="0" fontId="80" fillId="3" borderId="49" xfId="0" applyFont="1" applyFill="1" applyBorder="1" applyAlignment="1">
      <alignment horizontal="center" vertical="center"/>
    </xf>
    <xf numFmtId="0" fontId="80" fillId="3" borderId="57" xfId="0" applyFont="1" applyFill="1" applyBorder="1" applyAlignment="1">
      <alignment horizontal="center" vertical="center"/>
    </xf>
    <xf numFmtId="49" fontId="80" fillId="3" borderId="16" xfId="0" applyNumberFormat="1" applyFont="1" applyFill="1" applyBorder="1" applyAlignment="1">
      <alignment horizontal="center" wrapText="1"/>
    </xf>
    <xf numFmtId="0" fontId="79" fillId="3" borderId="4" xfId="0" applyFont="1" applyFill="1" applyBorder="1" applyAlignment="1">
      <alignment horizontal="center" wrapText="1"/>
    </xf>
    <xf numFmtId="49" fontId="80" fillId="3" borderId="49" xfId="0" applyNumberFormat="1" applyFont="1" applyFill="1" applyBorder="1" applyAlignment="1">
      <alignment horizontal="center"/>
    </xf>
    <xf numFmtId="0" fontId="80" fillId="3" borderId="57" xfId="0" applyFont="1" applyFill="1" applyBorder="1" applyAlignment="1">
      <alignment horizontal="center"/>
    </xf>
    <xf numFmtId="49" fontId="80" fillId="6" borderId="31" xfId="0" applyNumberFormat="1" applyFont="1" applyFill="1" applyBorder="1" applyAlignment="1">
      <alignment horizontal="center"/>
    </xf>
    <xf numFmtId="0" fontId="79" fillId="6" borderId="58" xfId="0" applyFont="1" applyFill="1" applyBorder="1"/>
    <xf numFmtId="0" fontId="5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67" fillId="0" borderId="31" xfId="0" applyFont="1" applyBorder="1" applyAlignment="1">
      <alignment horizontal="center" wrapText="1"/>
    </xf>
    <xf numFmtId="0" fontId="36" fillId="0" borderId="30" xfId="0" applyFont="1" applyBorder="1" applyAlignment="1">
      <alignment horizontal="center"/>
    </xf>
    <xf numFmtId="0" fontId="36" fillId="0" borderId="32" xfId="0" applyFont="1" applyBorder="1" applyAlignment="1">
      <alignment horizontal="center"/>
    </xf>
    <xf numFmtId="0" fontId="127" fillId="0" borderId="31" xfId="0" applyFont="1" applyBorder="1" applyAlignment="1">
      <alignment horizontal="center" wrapText="1"/>
    </xf>
    <xf numFmtId="0" fontId="127" fillId="0" borderId="30" xfId="0" applyFont="1" applyBorder="1" applyAlignment="1">
      <alignment horizontal="center" wrapText="1"/>
    </xf>
    <xf numFmtId="0" fontId="127" fillId="0" borderId="32" xfId="0" applyFont="1" applyBorder="1" applyAlignment="1">
      <alignment horizontal="center" wrapText="1"/>
    </xf>
    <xf numFmtId="0" fontId="129" fillId="0" borderId="31" xfId="0" applyFont="1" applyBorder="1" applyAlignment="1">
      <alignment horizontal="center"/>
    </xf>
    <xf numFmtId="0" fontId="129" fillId="0" borderId="30" xfId="0" applyFont="1" applyBorder="1" applyAlignment="1">
      <alignment horizontal="center"/>
    </xf>
    <xf numFmtId="0" fontId="129" fillId="0" borderId="32" xfId="0" applyFont="1" applyBorder="1" applyAlignment="1">
      <alignment horizontal="center"/>
    </xf>
    <xf numFmtId="0" fontId="59" fillId="0" borderId="31" xfId="0" applyFont="1" applyBorder="1" applyAlignment="1">
      <alignment horizontal="center" wrapText="1"/>
    </xf>
    <xf numFmtId="0" fontId="59" fillId="0" borderId="30" xfId="0" applyFont="1" applyBorder="1" applyAlignment="1">
      <alignment horizontal="center" wrapText="1"/>
    </xf>
    <xf numFmtId="0" fontId="59" fillId="0" borderId="32" xfId="0" applyFont="1" applyBorder="1" applyAlignment="1">
      <alignment horizontal="center" wrapText="1"/>
    </xf>
    <xf numFmtId="0" fontId="5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1" fillId="0" borderId="31" xfId="0" applyFont="1" applyBorder="1" applyAlignment="1">
      <alignment horizontal="center"/>
    </xf>
    <xf numFmtId="0" fontId="51" fillId="0" borderId="30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5" fillId="0" borderId="31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166" fontId="0" fillId="0" borderId="16" xfId="0" applyNumberFormat="1" applyBorder="1" applyAlignment="1">
      <alignment horizontal="left"/>
    </xf>
    <xf numFmtId="166" fontId="0" fillId="0" borderId="4" xfId="0" applyNumberFormat="1" applyBorder="1" applyAlignment="1">
      <alignment horizontal="left"/>
    </xf>
    <xf numFmtId="166" fontId="8" fillId="0" borderId="4" xfId="0" applyNumberFormat="1" applyFont="1" applyBorder="1" applyAlignment="1">
      <alignment horizontal="left"/>
    </xf>
    <xf numFmtId="166" fontId="0" fillId="0" borderId="11" xfId="0" applyNumberFormat="1" applyBorder="1" applyAlignment="1">
      <alignment horizontal="left"/>
    </xf>
    <xf numFmtId="166" fontId="0" fillId="0" borderId="12" xfId="0" applyNumberFormat="1" applyBorder="1" applyAlignment="1">
      <alignment horizontal="left"/>
    </xf>
    <xf numFmtId="166" fontId="7" fillId="0" borderId="31" xfId="0" applyNumberFormat="1" applyFont="1" applyBorder="1" applyAlignment="1">
      <alignment horizontal="center" wrapText="1"/>
    </xf>
    <xf numFmtId="166" fontId="7" fillId="0" borderId="30" xfId="0" applyNumberFormat="1" applyFont="1" applyBorder="1" applyAlignment="1">
      <alignment horizontal="center" wrapText="1"/>
    </xf>
    <xf numFmtId="166" fontId="7" fillId="0" borderId="32" xfId="0" applyNumberFormat="1" applyFont="1" applyBorder="1" applyAlignment="1">
      <alignment horizontal="center" wrapText="1"/>
    </xf>
    <xf numFmtId="166" fontId="7" fillId="0" borderId="33" xfId="0" applyNumberFormat="1" applyFont="1" applyBorder="1" applyAlignment="1">
      <alignment horizontal="left" wrapText="1"/>
    </xf>
    <xf numFmtId="166" fontId="7" fillId="0" borderId="34" xfId="0" applyNumberFormat="1" applyFont="1" applyBorder="1" applyAlignment="1">
      <alignment horizontal="left"/>
    </xf>
    <xf numFmtId="166" fontId="7" fillId="0" borderId="35" xfId="0" applyNumberFormat="1" applyFont="1" applyBorder="1" applyAlignment="1">
      <alignment horizontal="left"/>
    </xf>
    <xf numFmtId="0" fontId="48" fillId="4" borderId="46" xfId="0" applyFont="1" applyFill="1" applyBorder="1" applyAlignment="1">
      <alignment horizontal="center" wrapText="1"/>
    </xf>
    <xf numFmtId="0" fontId="48" fillId="4" borderId="63" xfId="0" applyFont="1" applyFill="1" applyBorder="1" applyAlignment="1">
      <alignment horizontal="center" wrapText="1"/>
    </xf>
    <xf numFmtId="0" fontId="48" fillId="3" borderId="31" xfId="0" applyFont="1" applyFill="1" applyBorder="1" applyAlignment="1">
      <alignment horizontal="center"/>
    </xf>
    <xf numFmtId="0" fontId="48" fillId="3" borderId="58" xfId="0" applyFont="1" applyFill="1" applyBorder="1"/>
    <xf numFmtId="0" fontId="48" fillId="3" borderId="31" xfId="0" applyFont="1" applyFill="1" applyBorder="1" applyAlignment="1">
      <alignment horizontal="center" vertical="center"/>
    </xf>
    <xf numFmtId="0" fontId="48" fillId="3" borderId="58" xfId="0" applyFont="1" applyFill="1" applyBorder="1" applyAlignment="1">
      <alignment horizontal="center" vertical="center"/>
    </xf>
    <xf numFmtId="49" fontId="40" fillId="3" borderId="49" xfId="0" applyNumberFormat="1" applyFont="1" applyFill="1" applyBorder="1" applyAlignment="1">
      <alignment horizontal="center" wrapText="1"/>
    </xf>
    <xf numFmtId="0" fontId="0" fillId="3" borderId="57" xfId="0" applyFill="1" applyBorder="1" applyAlignment="1">
      <alignment horizontal="center" wrapText="1"/>
    </xf>
    <xf numFmtId="49" fontId="48" fillId="3" borderId="50" xfId="0" applyNumberFormat="1" applyFont="1" applyFill="1" applyBorder="1" applyAlignment="1">
      <alignment horizontal="center"/>
    </xf>
    <xf numFmtId="0" fontId="48" fillId="3" borderId="57" xfId="0" applyFont="1" applyFill="1" applyBorder="1" applyAlignment="1">
      <alignment horizontal="center"/>
    </xf>
    <xf numFmtId="0" fontId="48" fillId="4" borderId="46" xfId="0" applyFont="1" applyFill="1" applyBorder="1" applyAlignment="1">
      <alignment wrapText="1"/>
    </xf>
    <xf numFmtId="0" fontId="0" fillId="4" borderId="63" xfId="0" applyFill="1" applyBorder="1" applyAlignment="1">
      <alignment wrapText="1"/>
    </xf>
    <xf numFmtId="0" fontId="48" fillId="4" borderId="33" xfId="0" applyFont="1" applyFill="1" applyBorder="1" applyAlignment="1">
      <alignment wrapText="1"/>
    </xf>
    <xf numFmtId="0" fontId="0" fillId="4" borderId="67" xfId="0" applyFill="1" applyBorder="1" applyAlignment="1">
      <alignment wrapText="1"/>
    </xf>
    <xf numFmtId="0" fontId="48" fillId="4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49" fontId="48" fillId="4" borderId="31" xfId="0" applyNumberFormat="1" applyFont="1" applyFill="1" applyBorder="1"/>
    <xf numFmtId="0" fontId="0" fillId="4" borderId="58" xfId="0" applyFill="1" applyBorder="1"/>
    <xf numFmtId="0" fontId="5" fillId="0" borderId="30" xfId="0" applyFont="1" applyBorder="1" applyAlignment="1">
      <alignment horizontal="center" wrapText="1"/>
    </xf>
    <xf numFmtId="0" fontId="5" fillId="0" borderId="58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7" fillId="0" borderId="30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1" fontId="47" fillId="0" borderId="31" xfId="0" applyNumberFormat="1" applyFont="1" applyBorder="1" applyAlignment="1">
      <alignment horizontal="center"/>
    </xf>
    <xf numFmtId="1" fontId="7" fillId="0" borderId="30" xfId="0" applyNumberFormat="1" applyFont="1" applyBorder="1" applyAlignment="1">
      <alignment horizontal="center"/>
    </xf>
    <xf numFmtId="1" fontId="7" fillId="0" borderId="32" xfId="0" applyNumberFormat="1" applyFont="1" applyBorder="1" applyAlignment="1">
      <alignment horizontal="center"/>
    </xf>
    <xf numFmtId="0" fontId="47" fillId="0" borderId="31" xfId="0" applyFont="1" applyBorder="1" applyAlignment="1">
      <alignment horizontal="center"/>
    </xf>
    <xf numFmtId="0" fontId="7" fillId="0" borderId="30" xfId="0" quotePrefix="1" applyFont="1" applyBorder="1" applyAlignment="1">
      <alignment horizontal="center"/>
    </xf>
    <xf numFmtId="0" fontId="7" fillId="0" borderId="32" xfId="0" quotePrefix="1" applyFont="1" applyBorder="1" applyAlignment="1">
      <alignment horizontal="center"/>
    </xf>
    <xf numFmtId="165" fontId="38" fillId="0" borderId="31" xfId="0" applyNumberFormat="1" applyFont="1" applyBorder="1" applyAlignment="1">
      <alignment wrapText="1"/>
    </xf>
    <xf numFmtId="165" fontId="46" fillId="0" borderId="30" xfId="0" applyNumberFormat="1" applyFont="1" applyBorder="1" applyAlignment="1">
      <alignment wrapText="1"/>
    </xf>
    <xf numFmtId="165" fontId="46" fillId="0" borderId="32" xfId="0" applyNumberFormat="1" applyFont="1" applyBorder="1" applyAlignment="1">
      <alignment wrapText="1"/>
    </xf>
    <xf numFmtId="0" fontId="1" fillId="0" borderId="33" xfId="0" applyFont="1" applyBorder="1" applyAlignment="1">
      <alignment horizontal="center" wrapText="1"/>
    </xf>
    <xf numFmtId="0" fontId="7" fillId="0" borderId="34" xfId="0" applyFont="1" applyBorder="1" applyAlignment="1">
      <alignment horizontal="center" wrapText="1"/>
    </xf>
    <xf numFmtId="0" fontId="7" fillId="0" borderId="35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7" fillId="0" borderId="61" xfId="0" applyFont="1" applyBorder="1" applyAlignment="1">
      <alignment horizontal="center" wrapText="1"/>
    </xf>
    <xf numFmtId="0" fontId="7" fillId="0" borderId="50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7" fillId="3" borderId="31" xfId="0" applyFont="1" applyFill="1" applyBorder="1" applyAlignment="1">
      <alignment wrapText="1"/>
    </xf>
    <xf numFmtId="0" fontId="7" fillId="3" borderId="58" xfId="0" applyFont="1" applyFill="1" applyBorder="1" applyAlignment="1">
      <alignment wrapText="1"/>
    </xf>
    <xf numFmtId="0" fontId="48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vertical="center"/>
    </xf>
    <xf numFmtId="0" fontId="5" fillId="0" borderId="32" xfId="0" applyFont="1" applyBorder="1" applyAlignment="1">
      <alignment horizontal="center" wrapText="1"/>
    </xf>
    <xf numFmtId="0" fontId="40" fillId="0" borderId="1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0" fillId="0" borderId="24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0" fillId="3" borderId="58" xfId="0" applyFill="1" applyBorder="1" applyAlignment="1">
      <alignment wrapText="1"/>
    </xf>
    <xf numFmtId="0" fontId="7" fillId="3" borderId="48" xfId="0" applyFont="1" applyFill="1" applyBorder="1" applyAlignment="1">
      <alignment wrapText="1"/>
    </xf>
    <xf numFmtId="0" fontId="0" fillId="3" borderId="66" xfId="0" applyFill="1" applyBorder="1" applyAlignment="1">
      <alignment wrapText="1"/>
    </xf>
    <xf numFmtId="0" fontId="133" fillId="3" borderId="33" xfId="0" applyFont="1" applyFill="1" applyBorder="1" applyAlignment="1">
      <alignment wrapText="1"/>
    </xf>
    <xf numFmtId="0" fontId="126" fillId="3" borderId="67" xfId="0" applyFont="1" applyFill="1" applyBorder="1" applyAlignment="1">
      <alignment wrapText="1"/>
    </xf>
    <xf numFmtId="0" fontId="129" fillId="0" borderId="31" xfId="0" applyFont="1" applyBorder="1" applyAlignment="1">
      <alignment horizontal="center" wrapText="1"/>
    </xf>
    <xf numFmtId="0" fontId="129" fillId="0" borderId="30" xfId="0" applyFont="1" applyBorder="1" applyAlignment="1">
      <alignment horizontal="center" wrapText="1"/>
    </xf>
    <xf numFmtId="0" fontId="129" fillId="0" borderId="32" xfId="0" applyFont="1" applyBorder="1" applyAlignment="1">
      <alignment horizontal="center" wrapText="1"/>
    </xf>
    <xf numFmtId="0" fontId="124" fillId="0" borderId="24" xfId="0" applyFont="1" applyBorder="1" applyAlignment="1">
      <alignment horizontal="center" vertical="center"/>
    </xf>
    <xf numFmtId="0" fontId="126" fillId="0" borderId="29" xfId="0" applyFont="1" applyBorder="1" applyAlignment="1">
      <alignment horizontal="center" vertical="center"/>
    </xf>
    <xf numFmtId="0" fontId="124" fillId="0" borderId="16" xfId="0" applyFont="1" applyBorder="1" applyAlignment="1">
      <alignment horizontal="center" vertical="center"/>
    </xf>
    <xf numFmtId="0" fontId="126" fillId="0" borderId="4" xfId="0" applyFont="1" applyBorder="1" applyAlignment="1">
      <alignment horizontal="center" vertical="center"/>
    </xf>
    <xf numFmtId="0" fontId="133" fillId="3" borderId="31" xfId="0" applyFont="1" applyFill="1" applyBorder="1" applyAlignment="1">
      <alignment wrapText="1"/>
    </xf>
    <xf numFmtId="0" fontId="126" fillId="3" borderId="58" xfId="0" applyFont="1" applyFill="1" applyBorder="1" applyAlignment="1">
      <alignment wrapText="1"/>
    </xf>
    <xf numFmtId="0" fontId="7" fillId="3" borderId="46" xfId="0" applyFont="1" applyFill="1" applyBorder="1" applyAlignment="1">
      <alignment wrapText="1"/>
    </xf>
    <xf numFmtId="0" fontId="0" fillId="3" borderId="63" xfId="0" applyFill="1" applyBorder="1" applyAlignment="1">
      <alignment wrapText="1"/>
    </xf>
    <xf numFmtId="0" fontId="7" fillId="3" borderId="33" xfId="0" applyFont="1" applyFill="1" applyBorder="1" applyAlignment="1">
      <alignment wrapText="1"/>
    </xf>
    <xf numFmtId="0" fontId="0" fillId="3" borderId="67" xfId="0" applyFill="1" applyBorder="1" applyAlignment="1">
      <alignment wrapText="1"/>
    </xf>
    <xf numFmtId="0" fontId="48" fillId="0" borderId="16" xfId="0" applyFont="1" applyBorder="1" applyAlignment="1">
      <alignment horizontal="center"/>
    </xf>
    <xf numFmtId="0" fontId="0" fillId="0" borderId="4" xfId="0" applyBorder="1"/>
    <xf numFmtId="0" fontId="135" fillId="7" borderId="24" xfId="0" applyFont="1" applyFill="1" applyBorder="1" applyAlignment="1">
      <alignment horizontal="center" vertical="center"/>
    </xf>
    <xf numFmtId="0" fontId="135" fillId="7" borderId="29" xfId="0" applyFont="1" applyFill="1" applyBorder="1" applyAlignment="1">
      <alignment horizontal="center" vertical="center"/>
    </xf>
    <xf numFmtId="0" fontId="7" fillId="3" borderId="31" xfId="0" applyFont="1" applyFill="1" applyBorder="1"/>
    <xf numFmtId="0" fontId="0" fillId="3" borderId="32" xfId="0" applyFill="1" applyBorder="1"/>
    <xf numFmtId="0" fontId="7" fillId="3" borderId="30" xfId="0" applyFont="1" applyFill="1" applyBorder="1"/>
    <xf numFmtId="0" fontId="0" fillId="3" borderId="30" xfId="0" applyFill="1" applyBorder="1"/>
    <xf numFmtId="0" fontId="7" fillId="0" borderId="31" xfId="0" applyFont="1" applyBorder="1"/>
    <xf numFmtId="0" fontId="0" fillId="0" borderId="32" xfId="0" applyBorder="1"/>
    <xf numFmtId="0" fontId="7" fillId="0" borderId="30" xfId="0" applyFont="1" applyBorder="1"/>
    <xf numFmtId="0" fontId="0" fillId="0" borderId="30" xfId="0" applyBorder="1"/>
    <xf numFmtId="0" fontId="7" fillId="0" borderId="2" xfId="0" applyFont="1" applyBorder="1" applyAlignment="1">
      <alignment horizontal="center"/>
    </xf>
    <xf numFmtId="0" fontId="7" fillId="3" borderId="49" xfId="0" applyFont="1" applyFill="1" applyBorder="1"/>
    <xf numFmtId="0" fontId="0" fillId="3" borderId="51" xfId="0" applyFill="1" applyBorder="1"/>
    <xf numFmtId="0" fontId="7" fillId="3" borderId="80" xfId="0" applyFont="1" applyFill="1" applyBorder="1"/>
    <xf numFmtId="0" fontId="0" fillId="3" borderId="80" xfId="0" applyFill="1" applyBorder="1"/>
    <xf numFmtId="0" fontId="1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 wrapText="1"/>
    </xf>
    <xf numFmtId="0" fontId="1" fillId="0" borderId="32" xfId="0" applyFont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6">
    <cellStyle name="Ezres" xfId="1" builtinId="3"/>
    <cellStyle name="Ezres_Költségvetés 2005." xfId="2"/>
    <cellStyle name="Normál" xfId="0" builtinId="0"/>
    <cellStyle name="Normál_2003.évi költségvetés  xls" xfId="3"/>
    <cellStyle name="Normal_Dialog1_1_Module1" xfId="4"/>
    <cellStyle name="Pénznem" xfId="5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"/>
  <sheetViews>
    <sheetView showGridLines="0" showRowColHeaders="0" showZeros="0" showOutlineSymbols="0" topLeftCell="B25089" zoomScaleSheetLayoutView="4" workbookViewId="0"/>
  </sheetViews>
  <sheetFormatPr defaultRowHeight="12.6" x14ac:dyDescent="0.25"/>
  <sheetData/>
  <phoneticPr fontId="3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2">
    <pageSetUpPr fitToPage="1"/>
  </sheetPr>
  <dimension ref="A1:K138"/>
  <sheetViews>
    <sheetView topLeftCell="B19" workbookViewId="0">
      <selection activeCell="C1" sqref="C1:I49"/>
    </sheetView>
  </sheetViews>
  <sheetFormatPr defaultColWidth="9.109375" defaultRowHeight="15.6" x14ac:dyDescent="0.35"/>
  <cols>
    <col min="1" max="1" width="0.88671875" style="1183" hidden="1" customWidth="1"/>
    <col min="2" max="2" width="0.88671875" style="18" customWidth="1"/>
    <col min="3" max="3" width="42.6640625" style="18" customWidth="1"/>
    <col min="4" max="4" width="18.88671875" style="6" customWidth="1"/>
    <col min="5" max="5" width="0.109375" style="6" customWidth="1"/>
    <col min="6" max="6" width="0.44140625" style="1" hidden="1" customWidth="1"/>
    <col min="7" max="7" width="53" style="1" customWidth="1"/>
    <col min="8" max="8" width="19.6640625" style="6" customWidth="1"/>
    <col min="9" max="9" width="0.109375" style="6" customWidth="1"/>
    <col min="10" max="10" width="0.33203125" style="1" customWidth="1"/>
    <col min="11" max="11" width="9.109375" style="1917"/>
    <col min="12" max="16384" width="9.109375" style="6"/>
  </cols>
  <sheetData>
    <row r="1" spans="1:10" ht="15" customHeight="1" thickBot="1" x14ac:dyDescent="0.4">
      <c r="A1" s="27" t="s">
        <v>22</v>
      </c>
      <c r="B1" s="27"/>
      <c r="C1" s="2550" t="s">
        <v>558</v>
      </c>
      <c r="D1" s="2551"/>
      <c r="E1" s="2551"/>
      <c r="F1" s="2551"/>
      <c r="G1" s="2551"/>
      <c r="H1" s="2551"/>
      <c r="I1" s="2552"/>
      <c r="J1" s="91"/>
    </row>
    <row r="2" spans="1:10" ht="2.25" hidden="1" customHeight="1" thickBot="1" x14ac:dyDescent="0.4">
      <c r="A2" s="27"/>
      <c r="B2" s="27"/>
      <c r="C2" s="166"/>
      <c r="D2" s="96"/>
      <c r="E2" s="97"/>
      <c r="F2" s="96"/>
      <c r="G2" s="109"/>
      <c r="H2" s="98"/>
      <c r="I2" s="167"/>
      <c r="J2" s="91"/>
    </row>
    <row r="3" spans="1:10" ht="18" customHeight="1" thickBot="1" x14ac:dyDescent="0.4">
      <c r="A3" s="18"/>
      <c r="C3" s="99"/>
      <c r="D3" s="490" t="s">
        <v>5</v>
      </c>
      <c r="E3" s="100"/>
      <c r="F3" s="93"/>
      <c r="G3" s="99"/>
      <c r="H3" s="490" t="s">
        <v>108</v>
      </c>
      <c r="I3" s="100"/>
      <c r="J3" s="646"/>
    </row>
    <row r="4" spans="1:10" ht="3" customHeight="1" thickBot="1" x14ac:dyDescent="0.4">
      <c r="A4" s="18"/>
      <c r="C4" s="103"/>
      <c r="D4" s="104"/>
      <c r="E4" s="105"/>
      <c r="F4" s="106"/>
      <c r="G4" s="526"/>
      <c r="H4" s="104"/>
      <c r="I4" s="1181"/>
      <c r="J4" s="91"/>
    </row>
    <row r="5" spans="1:10" ht="15.75" customHeight="1" thickBot="1" x14ac:dyDescent="0.4">
      <c r="A5" s="18"/>
      <c r="C5" s="526"/>
      <c r="D5" s="2468" t="s">
        <v>367</v>
      </c>
      <c r="E5" s="2092"/>
      <c r="F5" s="1096"/>
      <c r="G5" s="1097"/>
      <c r="H5" s="2468" t="s">
        <v>367</v>
      </c>
      <c r="I5" s="2092"/>
      <c r="J5" s="646"/>
    </row>
    <row r="6" spans="1:10" ht="15" customHeight="1" x14ac:dyDescent="0.35">
      <c r="A6" s="18"/>
      <c r="C6" s="527" t="s">
        <v>582</v>
      </c>
      <c r="D6" s="2093">
        <f>63940125-1651000</f>
        <v>62289125</v>
      </c>
      <c r="E6" s="1091"/>
      <c r="F6" s="601"/>
      <c r="G6" s="530" t="s">
        <v>529</v>
      </c>
      <c r="H6" s="2093">
        <v>3500000</v>
      </c>
      <c r="I6" s="531">
        <v>400</v>
      </c>
      <c r="J6" s="686"/>
    </row>
    <row r="7" spans="1:10" ht="15" customHeight="1" x14ac:dyDescent="0.35">
      <c r="A7" s="18"/>
      <c r="C7" s="165" t="s">
        <v>511</v>
      </c>
      <c r="D7" s="1397">
        <v>127012863</v>
      </c>
      <c r="E7" s="1092"/>
      <c r="F7" s="601"/>
      <c r="G7" s="451" t="s">
        <v>530</v>
      </c>
      <c r="H7" s="1397">
        <v>6000000</v>
      </c>
      <c r="I7" s="223"/>
      <c r="J7" s="687"/>
    </row>
    <row r="8" spans="1:10" ht="15" customHeight="1" x14ac:dyDescent="0.35">
      <c r="A8" s="18"/>
      <c r="C8" s="528"/>
      <c r="D8" s="1397"/>
      <c r="E8" s="1093"/>
      <c r="F8" s="601"/>
      <c r="G8" s="502" t="s">
        <v>617</v>
      </c>
      <c r="H8" s="1909">
        <f>453123722-4499483</f>
        <v>448624239</v>
      </c>
      <c r="I8" s="224">
        <v>240000</v>
      </c>
      <c r="J8" s="687">
        <v>1793</v>
      </c>
    </row>
    <row r="9" spans="1:10" ht="15" customHeight="1" x14ac:dyDescent="0.35">
      <c r="A9" s="18"/>
      <c r="C9" s="165" t="s">
        <v>448</v>
      </c>
      <c r="D9" s="1909">
        <v>500000</v>
      </c>
      <c r="E9" s="1093"/>
      <c r="F9" s="601"/>
      <c r="G9" s="502" t="s">
        <v>145</v>
      </c>
      <c r="H9" s="1397">
        <v>2000000</v>
      </c>
      <c r="I9" s="224"/>
      <c r="J9" s="687"/>
    </row>
    <row r="10" spans="1:10" ht="15" customHeight="1" x14ac:dyDescent="0.35">
      <c r="A10" s="18"/>
      <c r="C10" s="165" t="s">
        <v>447</v>
      </c>
      <c r="D10" s="1397">
        <v>1000000</v>
      </c>
      <c r="E10" s="1093"/>
      <c r="F10" s="601"/>
      <c r="G10" s="502" t="s">
        <v>316</v>
      </c>
      <c r="H10" s="1909">
        <v>4000000</v>
      </c>
      <c r="I10" s="224"/>
      <c r="J10" s="687"/>
    </row>
    <row r="11" spans="1:10" ht="15" customHeight="1" x14ac:dyDescent="0.35">
      <c r="A11" s="18"/>
      <c r="C11" s="502" t="s">
        <v>627</v>
      </c>
      <c r="D11" s="1397">
        <v>60000000</v>
      </c>
      <c r="E11" s="1093"/>
      <c r="F11" s="601"/>
      <c r="G11" s="502" t="s">
        <v>449</v>
      </c>
      <c r="H11" s="1909">
        <v>6000000</v>
      </c>
      <c r="I11" s="270">
        <v>1000</v>
      </c>
      <c r="J11" s="687"/>
    </row>
    <row r="12" spans="1:10" ht="15" customHeight="1" x14ac:dyDescent="0.35">
      <c r="A12" s="18"/>
      <c r="C12" s="528" t="s">
        <v>397</v>
      </c>
      <c r="D12" s="1397">
        <v>1500000</v>
      </c>
      <c r="E12" s="1092"/>
      <c r="F12" s="601"/>
      <c r="G12" s="502" t="s">
        <v>632</v>
      </c>
      <c r="H12" s="1909">
        <v>30000000</v>
      </c>
      <c r="I12" s="223">
        <v>2000</v>
      </c>
      <c r="J12" s="687"/>
    </row>
    <row r="13" spans="1:10" ht="15" customHeight="1" x14ac:dyDescent="0.35">
      <c r="A13" s="18"/>
      <c r="C13" s="529" t="s">
        <v>531</v>
      </c>
      <c r="D13" s="1397">
        <v>958215</v>
      </c>
      <c r="E13" s="1092"/>
      <c r="F13" s="601"/>
      <c r="G13" s="502" t="s">
        <v>495</v>
      </c>
      <c r="H13" s="1909">
        <v>500000</v>
      </c>
      <c r="I13" s="224">
        <v>3000</v>
      </c>
      <c r="J13" s="687">
        <v>1862</v>
      </c>
    </row>
    <row r="14" spans="1:10" ht="15" customHeight="1" x14ac:dyDescent="0.35">
      <c r="A14" s="18"/>
      <c r="C14" s="529" t="s">
        <v>593</v>
      </c>
      <c r="D14" s="1397">
        <v>2000000</v>
      </c>
      <c r="E14" s="1092"/>
      <c r="F14" s="601"/>
      <c r="G14" s="502" t="s">
        <v>398</v>
      </c>
      <c r="H14" s="1909">
        <v>7000000</v>
      </c>
      <c r="I14" s="224">
        <v>3000</v>
      </c>
      <c r="J14" s="687"/>
    </row>
    <row r="15" spans="1:10" ht="15" customHeight="1" x14ac:dyDescent="0.35">
      <c r="A15" s="18"/>
      <c r="C15" s="528" t="s">
        <v>626</v>
      </c>
      <c r="D15" s="1397">
        <v>20000000</v>
      </c>
      <c r="E15" s="1092"/>
      <c r="F15" s="601"/>
      <c r="G15" s="502" t="s">
        <v>496</v>
      </c>
      <c r="H15" s="1909">
        <f>SUM(H16:H17)</f>
        <v>300000</v>
      </c>
      <c r="I15" s="224">
        <v>1000</v>
      </c>
      <c r="J15" s="687">
        <v>44</v>
      </c>
    </row>
    <row r="16" spans="1:10" ht="15" customHeight="1" x14ac:dyDescent="0.35">
      <c r="A16" s="18"/>
      <c r="C16" s="529" t="s">
        <v>602</v>
      </c>
      <c r="D16" s="1397"/>
      <c r="E16" s="1094"/>
      <c r="F16" s="601"/>
      <c r="G16" s="1164" t="s">
        <v>527</v>
      </c>
      <c r="H16" s="1916">
        <v>100000</v>
      </c>
      <c r="I16" s="224">
        <f>1000+1581</f>
        <v>2581</v>
      </c>
      <c r="J16" s="687"/>
    </row>
    <row r="17" spans="1:10" ht="15" customHeight="1" x14ac:dyDescent="0.35">
      <c r="A17" s="18"/>
      <c r="C17" s="528" t="s">
        <v>608</v>
      </c>
      <c r="D17" s="1397">
        <v>13779300</v>
      </c>
      <c r="E17" s="1092"/>
      <c r="F17" s="601"/>
      <c r="G17" s="1165" t="s">
        <v>528</v>
      </c>
      <c r="H17" s="1915">
        <v>200000</v>
      </c>
      <c r="I17" s="224">
        <v>20000</v>
      </c>
      <c r="J17" s="687"/>
    </row>
    <row r="18" spans="1:10" ht="15" customHeight="1" x14ac:dyDescent="0.35">
      <c r="A18" s="18"/>
      <c r="C18" s="529" t="s">
        <v>612</v>
      </c>
      <c r="D18" s="1397">
        <v>5000000</v>
      </c>
      <c r="E18" s="1092"/>
      <c r="F18" s="601"/>
      <c r="G18" s="451" t="s">
        <v>532</v>
      </c>
      <c r="H18" s="1397">
        <v>2329000</v>
      </c>
      <c r="I18" s="224">
        <v>530</v>
      </c>
      <c r="J18" s="687">
        <v>133</v>
      </c>
    </row>
    <row r="19" spans="1:10" ht="15" customHeight="1" x14ac:dyDescent="0.35">
      <c r="A19" s="18"/>
      <c r="B19" s="2469"/>
      <c r="E19" s="1092"/>
      <c r="F19" s="601"/>
      <c r="G19" s="502" t="s">
        <v>533</v>
      </c>
      <c r="H19" s="1397">
        <v>1730000</v>
      </c>
      <c r="I19" s="224">
        <v>5000</v>
      </c>
      <c r="J19" s="687"/>
    </row>
    <row r="20" spans="1:10" ht="15" customHeight="1" x14ac:dyDescent="0.35">
      <c r="A20" s="18"/>
      <c r="C20" s="2470"/>
      <c r="E20" s="1092"/>
      <c r="F20" s="601"/>
      <c r="G20" s="502" t="s">
        <v>604</v>
      </c>
      <c r="H20" s="1397">
        <v>249309288</v>
      </c>
      <c r="I20" s="224">
        <v>500</v>
      </c>
      <c r="J20" s="687"/>
    </row>
    <row r="21" spans="1:10" ht="15" customHeight="1" x14ac:dyDescent="0.35">
      <c r="A21" s="18"/>
      <c r="C21" s="2470"/>
      <c r="E21" s="1092"/>
      <c r="F21" s="601"/>
      <c r="G21" s="451" t="s">
        <v>583</v>
      </c>
      <c r="H21" s="1397">
        <v>4582700</v>
      </c>
      <c r="I21" s="223">
        <v>30</v>
      </c>
      <c r="J21" s="687"/>
    </row>
    <row r="22" spans="1:10" ht="15" customHeight="1" x14ac:dyDescent="0.35">
      <c r="A22" s="18"/>
      <c r="C22" s="528"/>
      <c r="D22" s="1397"/>
      <c r="E22" s="1094"/>
      <c r="F22" s="601"/>
      <c r="G22" s="451" t="s">
        <v>605</v>
      </c>
      <c r="H22" s="1397">
        <v>27843000</v>
      </c>
      <c r="I22" s="223">
        <v>127</v>
      </c>
      <c r="J22" s="687">
        <v>3449</v>
      </c>
    </row>
    <row r="23" spans="1:10" ht="15" customHeight="1" x14ac:dyDescent="0.35">
      <c r="A23" s="18"/>
      <c r="C23" s="529"/>
      <c r="D23" s="1397"/>
      <c r="E23" s="1094"/>
      <c r="F23" s="601"/>
      <c r="G23" s="502" t="s">
        <v>594</v>
      </c>
      <c r="H23" s="1397">
        <v>21000000</v>
      </c>
      <c r="I23" s="223">
        <v>300</v>
      </c>
      <c r="J23" s="687">
        <v>1295</v>
      </c>
    </row>
    <row r="24" spans="1:10" ht="15" customHeight="1" x14ac:dyDescent="0.35">
      <c r="A24" s="18"/>
      <c r="C24" s="529"/>
      <c r="D24" s="1397"/>
      <c r="E24" s="1094"/>
      <c r="F24" s="601"/>
      <c r="G24" s="502" t="s">
        <v>595</v>
      </c>
      <c r="H24" s="1397">
        <v>35000000</v>
      </c>
      <c r="I24" s="223"/>
      <c r="J24" s="687"/>
    </row>
    <row r="25" spans="1:10" ht="15" customHeight="1" x14ac:dyDescent="0.35">
      <c r="A25" s="18"/>
      <c r="C25" s="529"/>
      <c r="D25" s="1397"/>
      <c r="E25" s="1092"/>
      <c r="F25" s="601"/>
      <c r="G25" s="502" t="s">
        <v>596</v>
      </c>
      <c r="H25" s="1397">
        <v>600000</v>
      </c>
      <c r="I25" s="223">
        <v>679</v>
      </c>
      <c r="J25" s="687"/>
    </row>
    <row r="26" spans="1:10" ht="15" customHeight="1" x14ac:dyDescent="0.35">
      <c r="A26" s="18"/>
      <c r="C26" s="528"/>
      <c r="D26" s="1397"/>
      <c r="E26" s="1092"/>
      <c r="F26" s="601"/>
      <c r="G26" s="502" t="s">
        <v>597</v>
      </c>
      <c r="H26" s="1397">
        <v>2000000</v>
      </c>
      <c r="I26" s="223">
        <v>2263</v>
      </c>
      <c r="J26" s="687"/>
    </row>
    <row r="27" spans="1:10" ht="15" customHeight="1" x14ac:dyDescent="0.35">
      <c r="A27" s="18"/>
      <c r="C27" s="528"/>
      <c r="D27" s="1910"/>
      <c r="E27" s="688"/>
      <c r="F27" s="601"/>
      <c r="G27" s="502" t="s">
        <v>598</v>
      </c>
      <c r="H27" s="1397">
        <v>500000</v>
      </c>
      <c r="I27" s="223">
        <v>3279</v>
      </c>
      <c r="J27" s="687">
        <v>281</v>
      </c>
    </row>
    <row r="28" spans="1:10" ht="15" customHeight="1" x14ac:dyDescent="0.35">
      <c r="A28" s="18"/>
      <c r="C28" s="528"/>
      <c r="D28" s="1910"/>
      <c r="E28" s="688"/>
      <c r="F28" s="601"/>
      <c r="G28" s="502" t="s">
        <v>599</v>
      </c>
      <c r="H28" s="1397">
        <v>500000</v>
      </c>
      <c r="I28" s="1092"/>
      <c r="J28" s="688">
        <v>154</v>
      </c>
    </row>
    <row r="29" spans="1:10" ht="15" customHeight="1" thickBot="1" x14ac:dyDescent="0.4">
      <c r="A29" s="18"/>
      <c r="C29" s="528"/>
      <c r="D29" s="1910"/>
      <c r="E29" s="688"/>
      <c r="F29" s="601"/>
      <c r="G29" s="502" t="s">
        <v>606</v>
      </c>
      <c r="H29" s="1397">
        <v>3000000</v>
      </c>
      <c r="I29" s="1098"/>
      <c r="J29" s="689">
        <v>174</v>
      </c>
    </row>
    <row r="30" spans="1:10" ht="15" customHeight="1" x14ac:dyDescent="0.35">
      <c r="A30" s="18"/>
      <c r="C30" s="528"/>
      <c r="D30" s="1910"/>
      <c r="E30" s="688"/>
      <c r="F30" s="601"/>
      <c r="G30" s="502" t="s">
        <v>607</v>
      </c>
      <c r="H30" s="1397">
        <v>1400000</v>
      </c>
      <c r="I30" s="1092"/>
      <c r="J30" s="688"/>
    </row>
    <row r="31" spans="1:10" ht="15" customHeight="1" x14ac:dyDescent="0.35">
      <c r="A31" s="18"/>
      <c r="C31" s="528"/>
      <c r="D31" s="1910"/>
      <c r="E31" s="688"/>
      <c r="F31" s="601"/>
      <c r="G31" s="502" t="s">
        <v>628</v>
      </c>
      <c r="H31" s="1397">
        <v>20000000</v>
      </c>
      <c r="I31" s="1092"/>
      <c r="J31" s="688"/>
    </row>
    <row r="32" spans="1:10" ht="15" customHeight="1" x14ac:dyDescent="0.35">
      <c r="A32" s="18"/>
      <c r="C32" s="528"/>
      <c r="D32" s="1910"/>
      <c r="E32" s="688"/>
      <c r="F32" s="601"/>
      <c r="G32" s="502" t="s">
        <v>609</v>
      </c>
      <c r="H32" s="1397">
        <f>2000000*1.35*1.27</f>
        <v>3429000</v>
      </c>
      <c r="I32" s="1092"/>
      <c r="J32" s="688"/>
    </row>
    <row r="33" spans="1:10" ht="15" customHeight="1" x14ac:dyDescent="0.35">
      <c r="A33" s="18"/>
      <c r="C33" s="528"/>
      <c r="D33" s="1910"/>
      <c r="E33" s="688"/>
      <c r="F33" s="601"/>
      <c r="G33" s="502" t="s">
        <v>610</v>
      </c>
      <c r="H33" s="1397">
        <v>2000000</v>
      </c>
      <c r="I33" s="1092"/>
      <c r="J33" s="688"/>
    </row>
    <row r="34" spans="1:10" ht="15" customHeight="1" x14ac:dyDescent="0.35">
      <c r="A34" s="18"/>
      <c r="C34" s="528"/>
      <c r="D34" s="1910"/>
      <c r="E34" s="688"/>
      <c r="F34" s="601"/>
      <c r="G34" s="502" t="s">
        <v>616</v>
      </c>
      <c r="H34" s="1397">
        <v>700000</v>
      </c>
      <c r="I34" s="1092"/>
      <c r="J34" s="688"/>
    </row>
    <row r="35" spans="1:10" ht="15" customHeight="1" x14ac:dyDescent="0.35">
      <c r="A35" s="18"/>
      <c r="C35" s="528"/>
      <c r="D35" s="1910"/>
      <c r="E35" s="688"/>
      <c r="F35" s="601"/>
      <c r="G35" s="502" t="s">
        <v>611</v>
      </c>
      <c r="H35" s="1397">
        <v>10000000</v>
      </c>
      <c r="I35" s="1092"/>
      <c r="J35" s="688"/>
    </row>
    <row r="36" spans="1:10" ht="15" customHeight="1" x14ac:dyDescent="0.35">
      <c r="A36" s="18"/>
      <c r="C36" s="528"/>
      <c r="D36" s="1910"/>
      <c r="E36" s="688"/>
      <c r="F36" s="601"/>
      <c r="G36" s="502" t="s">
        <v>619</v>
      </c>
      <c r="H36" s="1397">
        <v>400000</v>
      </c>
      <c r="I36" s="1092"/>
      <c r="J36" s="688"/>
    </row>
    <row r="37" spans="1:10" ht="15" customHeight="1" x14ac:dyDescent="0.35">
      <c r="A37" s="18"/>
      <c r="C37" s="528"/>
      <c r="D37" s="1910"/>
      <c r="E37" s="688"/>
      <c r="F37" s="601"/>
      <c r="G37" s="502" t="s">
        <v>620</v>
      </c>
      <c r="H37" s="1397">
        <v>250000</v>
      </c>
      <c r="I37" s="1092"/>
      <c r="J37" s="688"/>
    </row>
    <row r="38" spans="1:10" ht="15" customHeight="1" x14ac:dyDescent="0.35">
      <c r="A38" s="18"/>
      <c r="C38" s="528"/>
      <c r="D38" s="1910"/>
      <c r="E38" s="688"/>
      <c r="F38" s="601"/>
      <c r="G38" s="502" t="s">
        <v>633</v>
      </c>
      <c r="H38" s="6">
        <f>(1443+129)*1950</f>
        <v>3065400</v>
      </c>
      <c r="I38" s="1092"/>
      <c r="J38" s="688"/>
    </row>
    <row r="39" spans="1:10" ht="15" customHeight="1" x14ac:dyDescent="0.35">
      <c r="A39" s="18"/>
      <c r="C39" s="528"/>
      <c r="D39" s="1910"/>
      <c r="E39" s="688"/>
      <c r="F39" s="601"/>
      <c r="G39" s="6"/>
      <c r="I39" s="1092"/>
      <c r="J39" s="688"/>
    </row>
    <row r="40" spans="1:10" ht="15" customHeight="1" x14ac:dyDescent="0.35">
      <c r="A40" s="18"/>
      <c r="C40" s="528"/>
      <c r="D40" s="1910"/>
      <c r="E40" s="688"/>
      <c r="F40" s="601"/>
      <c r="G40" s="6"/>
      <c r="I40" s="1092"/>
      <c r="J40" s="688"/>
    </row>
    <row r="41" spans="1:10" ht="15" customHeight="1" x14ac:dyDescent="0.35">
      <c r="A41" s="18"/>
      <c r="C41" s="528"/>
      <c r="D41" s="1910"/>
      <c r="E41" s="688"/>
      <c r="F41" s="601"/>
      <c r="G41" s="502"/>
      <c r="H41" s="1397"/>
      <c r="I41" s="1092"/>
      <c r="J41" s="688"/>
    </row>
    <row r="42" spans="1:10" ht="15" customHeight="1" x14ac:dyDescent="0.35">
      <c r="A42" s="18"/>
      <c r="C42" s="528"/>
      <c r="D42" s="1910"/>
      <c r="E42" s="688"/>
      <c r="F42" s="601"/>
      <c r="G42" s="502"/>
      <c r="H42" s="1397"/>
      <c r="I42" s="1092"/>
      <c r="J42" s="688"/>
    </row>
    <row r="43" spans="1:10" ht="15" customHeight="1" x14ac:dyDescent="0.35">
      <c r="A43" s="18"/>
      <c r="C43" s="528"/>
      <c r="D43" s="1910"/>
      <c r="E43" s="688"/>
      <c r="F43" s="601"/>
      <c r="G43" s="502"/>
      <c r="H43" s="1397"/>
      <c r="I43" s="1092"/>
      <c r="J43" s="688"/>
    </row>
    <row r="44" spans="1:10" ht="15" customHeight="1" thickBot="1" x14ac:dyDescent="0.4">
      <c r="A44" s="18"/>
      <c r="C44" s="549"/>
      <c r="D44" s="1911"/>
      <c r="E44" s="689"/>
      <c r="F44" s="755"/>
      <c r="G44" s="451"/>
      <c r="H44" s="1398"/>
      <c r="I44" s="1098"/>
      <c r="J44" s="689">
        <v>174</v>
      </c>
    </row>
    <row r="45" spans="1:10" ht="15" customHeight="1" thickBot="1" x14ac:dyDescent="0.4">
      <c r="A45" s="1182"/>
      <c r="B45" s="1182"/>
      <c r="C45" s="814" t="s">
        <v>0</v>
      </c>
      <c r="D45" s="1912">
        <f>SUM(D6:D28)</f>
        <v>294039503</v>
      </c>
      <c r="E45" s="216">
        <f>SUM(E6:E27)</f>
        <v>0</v>
      </c>
      <c r="F45" s="221">
        <f>SUM(F6:F44)</f>
        <v>0</v>
      </c>
      <c r="G45" s="397"/>
      <c r="H45" s="1913">
        <f>SUM(H6:H44)-H16-H17</f>
        <v>897562627</v>
      </c>
      <c r="I45" s="215">
        <f>SUM(I6:I44)</f>
        <v>285689</v>
      </c>
      <c r="J45" s="690">
        <f>SUM(J6:J44)</f>
        <v>9359</v>
      </c>
    </row>
    <row r="46" spans="1:10" ht="14.4" customHeight="1" thickBot="1" x14ac:dyDescent="0.4">
      <c r="A46" s="6"/>
      <c r="B46" s="6"/>
      <c r="C46" s="397"/>
      <c r="D46" s="221" t="s">
        <v>405</v>
      </c>
      <c r="E46" s="216"/>
      <c r="F46" s="221"/>
      <c r="G46" s="492"/>
      <c r="H46" s="1914">
        <f>SUM(H45+D45)</f>
        <v>1191602130</v>
      </c>
      <c r="I46" s="215"/>
      <c r="J46" s="690"/>
    </row>
    <row r="47" spans="1:10" ht="15" hidden="1" customHeight="1" thickBot="1" x14ac:dyDescent="0.4">
      <c r="A47" s="6"/>
      <c r="B47" s="6"/>
      <c r="C47" s="101"/>
      <c r="D47" s="221" t="s">
        <v>404</v>
      </c>
      <c r="E47" s="1095"/>
      <c r="F47" s="222"/>
      <c r="G47" s="398"/>
      <c r="H47" s="222"/>
      <c r="I47" s="216">
        <f>SUM(E45+I45)</f>
        <v>285689</v>
      </c>
      <c r="J47" s="690"/>
    </row>
    <row r="48" spans="1:10" ht="0.6" customHeight="1" thickBot="1" x14ac:dyDescent="0.4">
      <c r="A48" s="6"/>
      <c r="B48" s="6"/>
      <c r="C48" s="101"/>
      <c r="D48" s="221" t="s">
        <v>434</v>
      </c>
      <c r="E48" s="1095"/>
      <c r="F48" s="222"/>
      <c r="G48" s="398"/>
      <c r="H48" s="222"/>
      <c r="I48" s="216"/>
      <c r="J48" s="691">
        <f>SUM(J45+F45)</f>
        <v>9359</v>
      </c>
    </row>
    <row r="49" spans="1:11" ht="15" customHeight="1" x14ac:dyDescent="0.35">
      <c r="A49" s="6"/>
      <c r="B49" s="6"/>
      <c r="C49" s="97" t="s">
        <v>184</v>
      </c>
      <c r="D49" s="97"/>
      <c r="E49" s="102"/>
      <c r="F49" s="97"/>
      <c r="G49" s="97"/>
      <c r="H49" s="97"/>
      <c r="I49" s="97"/>
      <c r="J49" s="692">
        <f>SUM(J48/I47)</f>
        <v>3.2759399206829805E-2</v>
      </c>
    </row>
    <row r="50" spans="1:11" ht="15.9" customHeight="1" x14ac:dyDescent="0.35">
      <c r="A50" s="6"/>
      <c r="B50" s="6"/>
      <c r="C50" s="94"/>
      <c r="D50" s="92"/>
      <c r="E50" s="95"/>
      <c r="F50" s="94"/>
      <c r="G50" s="94"/>
      <c r="H50" s="94"/>
      <c r="I50" s="94"/>
      <c r="J50" s="91"/>
    </row>
    <row r="51" spans="1:11" ht="15.9" customHeight="1" x14ac:dyDescent="0.35">
      <c r="A51" s="6"/>
      <c r="B51" s="6"/>
      <c r="C51" s="1180"/>
      <c r="D51" s="224"/>
      <c r="E51" s="2094"/>
      <c r="F51" s="6"/>
      <c r="G51" s="6"/>
    </row>
    <row r="52" spans="1:11" s="2095" customFormat="1" x14ac:dyDescent="0.35">
      <c r="A52" s="19" t="s">
        <v>6</v>
      </c>
      <c r="B52" s="19"/>
      <c r="C52" s="608"/>
      <c r="D52" s="223"/>
      <c r="E52" s="6"/>
      <c r="F52" s="1"/>
      <c r="G52" s="1"/>
      <c r="H52" s="6"/>
      <c r="I52" s="6"/>
      <c r="J52" s="2"/>
      <c r="K52" s="1917"/>
    </row>
    <row r="53" spans="1:11" ht="16.2" x14ac:dyDescent="0.35">
      <c r="A53" s="6"/>
      <c r="B53" s="6"/>
      <c r="C53" s="608"/>
      <c r="D53" s="223"/>
      <c r="E53" s="645"/>
      <c r="F53" s="6"/>
      <c r="G53" s="6"/>
    </row>
    <row r="54" spans="1:11" x14ac:dyDescent="0.35">
      <c r="C54" s="608"/>
      <c r="D54" s="223"/>
    </row>
    <row r="55" spans="1:11" x14ac:dyDescent="0.35">
      <c r="A55" s="5"/>
      <c r="B55" s="5"/>
      <c r="C55" s="5"/>
    </row>
    <row r="56" spans="1:11" x14ac:dyDescent="0.35">
      <c r="A56" s="7"/>
      <c r="B56" s="7"/>
      <c r="C56" s="7"/>
    </row>
    <row r="57" spans="1:11" x14ac:dyDescent="0.35">
      <c r="A57" s="7"/>
      <c r="B57" s="7"/>
      <c r="C57" s="7"/>
    </row>
    <row r="58" spans="1:11" x14ac:dyDescent="0.35">
      <c r="A58" s="7"/>
      <c r="B58" s="7"/>
      <c r="C58" s="7"/>
    </row>
    <row r="59" spans="1:11" x14ac:dyDescent="0.35">
      <c r="A59" s="7"/>
      <c r="B59" s="7"/>
      <c r="C59" s="7"/>
    </row>
    <row r="60" spans="1:11" x14ac:dyDescent="0.35">
      <c r="A60" s="7"/>
      <c r="B60" s="7"/>
      <c r="C60" s="7"/>
    </row>
    <row r="61" spans="1:11" x14ac:dyDescent="0.35">
      <c r="A61" s="7"/>
      <c r="B61" s="7"/>
      <c r="C61" s="7"/>
    </row>
    <row r="62" spans="1:11" x14ac:dyDescent="0.35">
      <c r="A62" s="7"/>
      <c r="B62" s="7"/>
      <c r="C62" s="7"/>
    </row>
    <row r="63" spans="1:11" x14ac:dyDescent="0.35">
      <c r="A63" s="7"/>
      <c r="B63" s="7"/>
      <c r="C63" s="7"/>
    </row>
    <row r="64" spans="1:11" x14ac:dyDescent="0.35">
      <c r="A64" s="7"/>
      <c r="B64" s="7"/>
      <c r="C64" s="7"/>
    </row>
    <row r="65" spans="1:11" x14ac:dyDescent="0.35">
      <c r="A65" s="7"/>
      <c r="B65" s="7"/>
      <c r="C65" s="7"/>
    </row>
    <row r="66" spans="1:11" x14ac:dyDescent="0.35">
      <c r="A66" s="7"/>
      <c r="B66" s="7"/>
      <c r="C66" s="7"/>
    </row>
    <row r="67" spans="1:11" x14ac:dyDescent="0.35">
      <c r="A67" s="7"/>
      <c r="B67" s="7"/>
      <c r="C67" s="7"/>
    </row>
    <row r="68" spans="1:11" x14ac:dyDescent="0.35">
      <c r="A68" s="7"/>
      <c r="B68" s="7"/>
      <c r="C68" s="7"/>
    </row>
    <row r="69" spans="1:11" x14ac:dyDescent="0.35">
      <c r="A69" s="7"/>
      <c r="B69" s="7"/>
      <c r="C69" s="7"/>
    </row>
    <row r="70" spans="1:11" x14ac:dyDescent="0.35">
      <c r="A70" s="7"/>
      <c r="B70" s="7"/>
      <c r="C70" s="7"/>
    </row>
    <row r="71" spans="1:11" x14ac:dyDescent="0.35">
      <c r="A71" s="7"/>
      <c r="B71" s="7"/>
      <c r="C71" s="7"/>
    </row>
    <row r="72" spans="1:11" x14ac:dyDescent="0.35">
      <c r="A72" s="7"/>
      <c r="B72" s="7"/>
      <c r="C72" s="7"/>
    </row>
    <row r="73" spans="1:11" x14ac:dyDescent="0.35">
      <c r="A73" s="7"/>
      <c r="B73" s="7"/>
      <c r="C73" s="7"/>
    </row>
    <row r="74" spans="1:11" x14ac:dyDescent="0.35">
      <c r="A74" s="6"/>
      <c r="B74" s="6"/>
      <c r="C74" s="6"/>
    </row>
    <row r="75" spans="1:11" ht="12" customHeight="1" x14ac:dyDescent="0.35">
      <c r="A75" s="1"/>
      <c r="B75" s="1"/>
      <c r="C75" s="1"/>
    </row>
    <row r="76" spans="1:11" x14ac:dyDescent="0.35">
      <c r="A76" s="18"/>
    </row>
    <row r="77" spans="1:11" x14ac:dyDescent="0.35">
      <c r="A77" s="18"/>
    </row>
    <row r="78" spans="1:11" x14ac:dyDescent="0.35">
      <c r="A78" s="18"/>
    </row>
    <row r="79" spans="1:11" s="2" customFormat="1" x14ac:dyDescent="0.35">
      <c r="A79" s="19"/>
      <c r="B79" s="19"/>
      <c r="C79" s="19"/>
      <c r="D79" s="6"/>
      <c r="E79" s="6"/>
      <c r="F79" s="1"/>
      <c r="G79" s="1"/>
      <c r="H79" s="6"/>
      <c r="I79" s="6"/>
      <c r="J79" s="1"/>
      <c r="K79" s="1917"/>
    </row>
    <row r="80" spans="1:11" x14ac:dyDescent="0.35">
      <c r="A80" s="18"/>
    </row>
    <row r="81" spans="1:10" x14ac:dyDescent="0.35">
      <c r="A81" s="6"/>
      <c r="B81" s="6"/>
      <c r="C81" s="6"/>
    </row>
    <row r="82" spans="1:10" x14ac:dyDescent="0.35">
      <c r="A82" s="6"/>
      <c r="B82" s="6"/>
      <c r="C82" s="6"/>
    </row>
    <row r="83" spans="1:10" x14ac:dyDescent="0.35">
      <c r="A83" s="6"/>
      <c r="B83" s="6"/>
      <c r="C83" s="6"/>
    </row>
    <row r="84" spans="1:10" x14ac:dyDescent="0.35">
      <c r="A84" s="6"/>
      <c r="B84" s="6"/>
      <c r="C84" s="6"/>
    </row>
    <row r="85" spans="1:10" x14ac:dyDescent="0.35">
      <c r="A85" s="6"/>
      <c r="B85" s="6"/>
      <c r="C85" s="6"/>
    </row>
    <row r="86" spans="1:10" x14ac:dyDescent="0.35">
      <c r="A86" s="18"/>
    </row>
    <row r="87" spans="1:10" x14ac:dyDescent="0.35">
      <c r="A87" s="18"/>
    </row>
    <row r="88" spans="1:10" x14ac:dyDescent="0.35">
      <c r="A88" s="18"/>
      <c r="J88" s="2"/>
    </row>
    <row r="89" spans="1:10" x14ac:dyDescent="0.35">
      <c r="A89" s="18"/>
    </row>
    <row r="90" spans="1:10" x14ac:dyDescent="0.35">
      <c r="A90" s="18"/>
    </row>
    <row r="91" spans="1:10" x14ac:dyDescent="0.35">
      <c r="A91" s="18"/>
    </row>
    <row r="92" spans="1:10" x14ac:dyDescent="0.35">
      <c r="A92" s="18"/>
    </row>
    <row r="93" spans="1:10" x14ac:dyDescent="0.35">
      <c r="A93" s="18"/>
    </row>
    <row r="94" spans="1:10" x14ac:dyDescent="0.35">
      <c r="A94" s="1184"/>
    </row>
    <row r="95" spans="1:10" x14ac:dyDescent="0.35">
      <c r="A95" s="1184"/>
    </row>
    <row r="96" spans="1:10" x14ac:dyDescent="0.35">
      <c r="A96" s="1184"/>
    </row>
    <row r="97" spans="1:10" x14ac:dyDescent="0.35">
      <c r="A97" s="1184"/>
    </row>
    <row r="98" spans="1:10" x14ac:dyDescent="0.35">
      <c r="A98" s="1184"/>
    </row>
    <row r="99" spans="1:10" x14ac:dyDescent="0.35">
      <c r="A99" s="1184"/>
    </row>
    <row r="100" spans="1:10" x14ac:dyDescent="0.35">
      <c r="A100" s="1184"/>
      <c r="F100" s="6"/>
      <c r="G100" s="6"/>
      <c r="J100" s="6"/>
    </row>
    <row r="101" spans="1:10" x14ac:dyDescent="0.35">
      <c r="A101" s="1184"/>
      <c r="F101" s="6"/>
      <c r="G101" s="6"/>
      <c r="J101" s="6"/>
    </row>
    <row r="102" spans="1:10" x14ac:dyDescent="0.35">
      <c r="A102" s="1184"/>
      <c r="F102" s="6"/>
      <c r="G102" s="6"/>
      <c r="J102" s="6"/>
    </row>
    <row r="103" spans="1:10" x14ac:dyDescent="0.35">
      <c r="A103" s="1184"/>
      <c r="F103" s="6"/>
      <c r="G103" s="6"/>
      <c r="J103" s="6"/>
    </row>
    <row r="104" spans="1:10" x14ac:dyDescent="0.35">
      <c r="A104" s="1184"/>
      <c r="F104" s="6"/>
      <c r="G104" s="6"/>
      <c r="J104" s="6"/>
    </row>
    <row r="105" spans="1:10" x14ac:dyDescent="0.35">
      <c r="A105" s="1184"/>
      <c r="F105" s="6"/>
      <c r="G105" s="6"/>
      <c r="J105" s="6"/>
    </row>
    <row r="106" spans="1:10" x14ac:dyDescent="0.35">
      <c r="A106" s="1184"/>
      <c r="F106" s="6"/>
      <c r="G106" s="6"/>
      <c r="J106" s="6"/>
    </row>
    <row r="107" spans="1:10" x14ac:dyDescent="0.35">
      <c r="A107" s="1184"/>
      <c r="F107" s="6"/>
      <c r="G107" s="6"/>
      <c r="J107" s="6"/>
    </row>
    <row r="108" spans="1:10" x14ac:dyDescent="0.35">
      <c r="A108" s="1184"/>
      <c r="F108" s="6"/>
      <c r="G108" s="6"/>
      <c r="J108" s="6"/>
    </row>
    <row r="109" spans="1:10" x14ac:dyDescent="0.35">
      <c r="A109" s="1184"/>
      <c r="F109" s="6"/>
      <c r="G109" s="6"/>
      <c r="J109" s="6"/>
    </row>
    <row r="110" spans="1:10" x14ac:dyDescent="0.35">
      <c r="A110" s="1184"/>
      <c r="F110" s="6"/>
      <c r="G110" s="6"/>
      <c r="J110" s="6"/>
    </row>
    <row r="111" spans="1:10" x14ac:dyDescent="0.35">
      <c r="A111" s="1184"/>
      <c r="F111" s="6"/>
      <c r="G111" s="6"/>
      <c r="J111" s="6"/>
    </row>
    <row r="112" spans="1:10" x14ac:dyDescent="0.35">
      <c r="A112" s="1184"/>
      <c r="F112" s="6"/>
      <c r="G112" s="6"/>
      <c r="J112" s="6"/>
    </row>
    <row r="113" spans="1:10" x14ac:dyDescent="0.35">
      <c r="A113" s="1184"/>
      <c r="F113" s="6"/>
      <c r="G113" s="6"/>
      <c r="J113" s="6"/>
    </row>
    <row r="114" spans="1:10" x14ac:dyDescent="0.35">
      <c r="A114" s="1184"/>
      <c r="F114" s="6"/>
      <c r="G114" s="6"/>
      <c r="J114" s="6"/>
    </row>
    <row r="115" spans="1:10" x14ac:dyDescent="0.35">
      <c r="A115" s="1184"/>
      <c r="F115" s="6"/>
      <c r="G115" s="6"/>
      <c r="J115" s="6"/>
    </row>
    <row r="116" spans="1:10" x14ac:dyDescent="0.35">
      <c r="A116" s="1184"/>
      <c r="F116" s="6"/>
      <c r="G116" s="6"/>
      <c r="J116" s="6"/>
    </row>
    <row r="117" spans="1:10" x14ac:dyDescent="0.35">
      <c r="A117" s="1184"/>
      <c r="F117" s="6"/>
      <c r="G117" s="6"/>
      <c r="J117" s="6"/>
    </row>
    <row r="118" spans="1:10" x14ac:dyDescent="0.35">
      <c r="A118" s="1184"/>
      <c r="F118" s="6"/>
      <c r="G118" s="6"/>
      <c r="J118" s="6"/>
    </row>
    <row r="119" spans="1:10" x14ac:dyDescent="0.35">
      <c r="A119" s="1184"/>
      <c r="F119" s="6"/>
      <c r="G119" s="6"/>
      <c r="J119" s="6"/>
    </row>
    <row r="120" spans="1:10" x14ac:dyDescent="0.35">
      <c r="A120" s="1184"/>
      <c r="F120" s="6"/>
      <c r="G120" s="6"/>
      <c r="J120" s="6"/>
    </row>
    <row r="121" spans="1:10" x14ac:dyDescent="0.35">
      <c r="A121" s="1184"/>
      <c r="F121" s="6"/>
      <c r="G121" s="6"/>
      <c r="J121" s="6"/>
    </row>
    <row r="122" spans="1:10" x14ac:dyDescent="0.35">
      <c r="A122" s="1184"/>
      <c r="F122" s="6"/>
      <c r="G122" s="6"/>
      <c r="J122" s="6"/>
    </row>
    <row r="123" spans="1:10" x14ac:dyDescent="0.35">
      <c r="A123" s="1184"/>
      <c r="F123" s="6"/>
      <c r="G123" s="6"/>
      <c r="J123" s="6"/>
    </row>
    <row r="124" spans="1:10" x14ac:dyDescent="0.35">
      <c r="A124" s="1184"/>
      <c r="F124" s="6"/>
      <c r="G124" s="6"/>
      <c r="J124" s="6"/>
    </row>
    <row r="125" spans="1:10" x14ac:dyDescent="0.35">
      <c r="A125" s="1184"/>
      <c r="F125" s="6"/>
      <c r="G125" s="6"/>
      <c r="J125" s="6"/>
    </row>
    <row r="126" spans="1:10" x14ac:dyDescent="0.35">
      <c r="A126" s="1184"/>
      <c r="F126" s="6"/>
      <c r="G126" s="6"/>
      <c r="J126" s="6"/>
    </row>
    <row r="127" spans="1:10" x14ac:dyDescent="0.35">
      <c r="A127" s="1185"/>
      <c r="F127" s="6"/>
      <c r="G127" s="6"/>
      <c r="J127" s="6"/>
    </row>
    <row r="128" spans="1:10" x14ac:dyDescent="0.35">
      <c r="A128" s="1185"/>
      <c r="F128" s="6"/>
      <c r="G128" s="6"/>
      <c r="J128" s="6"/>
    </row>
    <row r="129" spans="1:10" x14ac:dyDescent="0.35">
      <c r="A129" s="1185"/>
      <c r="F129" s="6"/>
      <c r="G129" s="6"/>
      <c r="J129" s="6"/>
    </row>
    <row r="130" spans="1:10" x14ac:dyDescent="0.35">
      <c r="F130" s="6"/>
      <c r="G130" s="6"/>
      <c r="J130" s="6"/>
    </row>
    <row r="131" spans="1:10" x14ac:dyDescent="0.35">
      <c r="F131" s="6"/>
      <c r="G131" s="6"/>
      <c r="J131" s="6"/>
    </row>
    <row r="132" spans="1:10" x14ac:dyDescent="0.35">
      <c r="A132" s="6"/>
      <c r="B132" s="6"/>
      <c r="C132" s="6"/>
      <c r="F132" s="6"/>
      <c r="G132" s="6"/>
      <c r="J132" s="6"/>
    </row>
    <row r="133" spans="1:10" x14ac:dyDescent="0.35">
      <c r="A133" s="6"/>
      <c r="B133" s="6"/>
      <c r="C133" s="6"/>
      <c r="F133" s="6"/>
      <c r="G133" s="6"/>
      <c r="J133" s="6"/>
    </row>
    <row r="134" spans="1:10" x14ac:dyDescent="0.35">
      <c r="A134" s="6"/>
      <c r="B134" s="6"/>
      <c r="C134" s="6"/>
      <c r="F134" s="6"/>
      <c r="G134" s="6"/>
      <c r="J134" s="6"/>
    </row>
    <row r="135" spans="1:10" x14ac:dyDescent="0.35">
      <c r="A135" s="6"/>
      <c r="B135" s="6"/>
      <c r="C135" s="6"/>
      <c r="F135" s="6"/>
      <c r="G135" s="6"/>
      <c r="J135" s="6"/>
    </row>
    <row r="136" spans="1:10" x14ac:dyDescent="0.35">
      <c r="A136" s="6"/>
      <c r="B136" s="6"/>
      <c r="C136" s="6"/>
      <c r="F136" s="6"/>
      <c r="G136" s="6"/>
      <c r="J136" s="6"/>
    </row>
    <row r="137" spans="1:10" x14ac:dyDescent="0.35">
      <c r="A137" s="6"/>
      <c r="B137" s="6"/>
      <c r="C137" s="6"/>
      <c r="F137" s="6"/>
      <c r="G137" s="6"/>
      <c r="J137" s="6"/>
    </row>
    <row r="138" spans="1:10" x14ac:dyDescent="0.35">
      <c r="A138" s="6"/>
      <c r="B138" s="6"/>
      <c r="C138" s="6"/>
      <c r="F138" s="6"/>
      <c r="G138" s="6"/>
      <c r="J138" s="6"/>
    </row>
  </sheetData>
  <mergeCells count="1">
    <mergeCell ref="C1:I1"/>
  </mergeCells>
  <phoneticPr fontId="3" type="noConversion"/>
  <printOptions horizontalCentered="1"/>
  <pageMargins left="0.7" right="0.7" top="0.75" bottom="0.75" header="0.3" footer="0.3"/>
  <pageSetup paperSize="9" scale="73" orientation="landscape" r:id="rId1"/>
  <headerFooter alignWithMargins="0">
    <oddHeader>&amp;A</oddHeader>
    <oddFooter>&amp;P. oldal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3">
    <pageSetUpPr fitToPage="1"/>
  </sheetPr>
  <dimension ref="A1:I462"/>
  <sheetViews>
    <sheetView topLeftCell="A15" workbookViewId="0">
      <selection sqref="A1:B42"/>
    </sheetView>
  </sheetViews>
  <sheetFormatPr defaultRowHeight="12.6" x14ac:dyDescent="0.25"/>
  <cols>
    <col min="1" max="1" width="74" customWidth="1"/>
    <col min="2" max="2" width="18.33203125" customWidth="1"/>
    <col min="3" max="3" width="0.44140625" customWidth="1"/>
    <col min="4" max="4" width="0.109375" customWidth="1"/>
    <col min="5" max="5" width="0.109375" hidden="1" customWidth="1"/>
    <col min="7" max="7" width="10" bestFit="1" customWidth="1"/>
    <col min="8" max="8" width="9.88671875" bestFit="1" customWidth="1"/>
    <col min="9" max="9" width="10.88671875" bestFit="1" customWidth="1"/>
  </cols>
  <sheetData>
    <row r="1" spans="1:8" ht="31.5" customHeight="1" thickBot="1" x14ac:dyDescent="0.4">
      <c r="A1" s="2553" t="s">
        <v>559</v>
      </c>
      <c r="B1" s="2554"/>
    </row>
    <row r="2" spans="1:8" s="26" customFormat="1" ht="0.75" customHeight="1" x14ac:dyDescent="0.35">
      <c r="A2" s="168"/>
      <c r="B2" s="169"/>
    </row>
    <row r="3" spans="1:8" ht="0.75" customHeight="1" x14ac:dyDescent="0.35">
      <c r="A3" s="170"/>
      <c r="B3" s="171"/>
    </row>
    <row r="4" spans="1:8" ht="0.75" customHeight="1" thickBot="1" x14ac:dyDescent="0.4">
      <c r="A4" s="170"/>
      <c r="B4" s="171"/>
    </row>
    <row r="5" spans="1:8" ht="29.25" customHeight="1" x14ac:dyDescent="0.35">
      <c r="A5" s="170"/>
      <c r="B5" s="2458" t="s">
        <v>356</v>
      </c>
      <c r="C5" s="481" t="s">
        <v>361</v>
      </c>
      <c r="D5" s="670"/>
      <c r="E5" s="673" t="s">
        <v>426</v>
      </c>
    </row>
    <row r="6" spans="1:8" ht="15" customHeight="1" thickBot="1" x14ac:dyDescent="0.4">
      <c r="A6" s="172" t="s">
        <v>339</v>
      </c>
      <c r="B6" s="1891">
        <f>SUM(B9:B32)</f>
        <v>81603270</v>
      </c>
      <c r="C6" s="477">
        <f>SUM(C9:C27)</f>
        <v>42342</v>
      </c>
      <c r="D6" s="671">
        <f>SUM(D9:D24)</f>
        <v>22054</v>
      </c>
      <c r="E6" s="675">
        <f>SUM(D6/C6)</f>
        <v>0.52085399839402957</v>
      </c>
    </row>
    <row r="7" spans="1:8" ht="0.75" customHeight="1" x14ac:dyDescent="0.35">
      <c r="A7" s="170"/>
      <c r="B7" s="1892"/>
      <c r="C7" s="478"/>
      <c r="D7" s="480"/>
      <c r="E7" s="675" t="e">
        <f t="shared" ref="E7:E42" si="0">SUM(D7/C7)</f>
        <v>#DIV/0!</v>
      </c>
    </row>
    <row r="8" spans="1:8" ht="0.75" customHeight="1" thickBot="1" x14ac:dyDescent="0.4">
      <c r="A8" s="170"/>
      <c r="B8" s="1892"/>
      <c r="C8" s="478"/>
      <c r="D8" s="480"/>
      <c r="E8" s="675" t="e">
        <f t="shared" si="0"/>
        <v>#DIV/0!</v>
      </c>
    </row>
    <row r="9" spans="1:8" ht="15" customHeight="1" x14ac:dyDescent="0.35">
      <c r="A9" s="532" t="s">
        <v>340</v>
      </c>
      <c r="B9" s="2299">
        <v>840000</v>
      </c>
      <c r="C9" s="533">
        <v>840</v>
      </c>
      <c r="D9" s="676">
        <v>620</v>
      </c>
      <c r="E9" s="675">
        <f t="shared" si="0"/>
        <v>0.73809523809523814</v>
      </c>
    </row>
    <row r="10" spans="1:8" ht="15" customHeight="1" x14ac:dyDescent="0.35">
      <c r="A10" s="534" t="s">
        <v>341</v>
      </c>
      <c r="B10" s="1893">
        <v>21572000</v>
      </c>
      <c r="C10" s="535">
        <v>13110</v>
      </c>
      <c r="D10" s="677">
        <v>9050</v>
      </c>
      <c r="E10" s="675">
        <f t="shared" si="0"/>
        <v>0.69031273836765827</v>
      </c>
      <c r="F10" s="6"/>
    </row>
    <row r="11" spans="1:8" ht="15" customHeight="1" x14ac:dyDescent="0.35">
      <c r="A11" s="534" t="s">
        <v>546</v>
      </c>
      <c r="B11" s="1893">
        <v>21054000</v>
      </c>
      <c r="C11" s="535"/>
      <c r="D11" s="677"/>
      <c r="E11" s="675"/>
      <c r="F11" s="6"/>
    </row>
    <row r="12" spans="1:8" ht="15" customHeight="1" x14ac:dyDescent="0.35">
      <c r="A12" s="534" t="s">
        <v>640</v>
      </c>
      <c r="B12" s="1893">
        <v>300000</v>
      </c>
      <c r="C12" s="535"/>
      <c r="D12" s="677"/>
      <c r="E12" s="675"/>
      <c r="F12" s="6"/>
    </row>
    <row r="13" spans="1:8" ht="15" customHeight="1" x14ac:dyDescent="0.35">
      <c r="A13" s="534" t="s">
        <v>342</v>
      </c>
      <c r="B13" s="1893">
        <v>1500000</v>
      </c>
      <c r="C13" s="535">
        <v>1000</v>
      </c>
      <c r="D13" s="677">
        <v>1000</v>
      </c>
      <c r="E13" s="675">
        <f t="shared" si="0"/>
        <v>1</v>
      </c>
      <c r="G13" s="6"/>
      <c r="H13" s="6"/>
    </row>
    <row r="14" spans="1:8" ht="15" customHeight="1" x14ac:dyDescent="0.35">
      <c r="A14" s="534" t="s">
        <v>28</v>
      </c>
      <c r="B14" s="1893">
        <v>1000000</v>
      </c>
      <c r="C14" s="535">
        <v>1000</v>
      </c>
      <c r="D14" s="677">
        <v>543</v>
      </c>
      <c r="E14" s="675">
        <f t="shared" si="0"/>
        <v>0.54300000000000004</v>
      </c>
    </row>
    <row r="15" spans="1:8" ht="15" customHeight="1" x14ac:dyDescent="0.35">
      <c r="A15" s="534" t="s">
        <v>29</v>
      </c>
      <c r="B15" s="1893">
        <v>17723000</v>
      </c>
      <c r="C15" s="535">
        <v>15673</v>
      </c>
      <c r="D15" s="677">
        <v>6053</v>
      </c>
      <c r="E15" s="675">
        <f t="shared" si="0"/>
        <v>0.38620557646908699</v>
      </c>
    </row>
    <row r="16" spans="1:8" ht="15.6" x14ac:dyDescent="0.35">
      <c r="A16" s="536" t="s">
        <v>129</v>
      </c>
      <c r="B16" s="1893">
        <v>900000</v>
      </c>
      <c r="C16" s="535">
        <v>720</v>
      </c>
      <c r="D16" s="677">
        <v>458</v>
      </c>
      <c r="E16" s="675">
        <f t="shared" si="0"/>
        <v>0.63611111111111107</v>
      </c>
    </row>
    <row r="17" spans="1:6" ht="15.6" x14ac:dyDescent="0.35">
      <c r="A17" s="536" t="s">
        <v>209</v>
      </c>
      <c r="B17" s="1893">
        <v>11447000</v>
      </c>
      <c r="C17" s="535">
        <v>7000</v>
      </c>
      <c r="D17" s="677">
        <v>3500</v>
      </c>
      <c r="E17" s="675">
        <f t="shared" si="0"/>
        <v>0.5</v>
      </c>
      <c r="F17" s="6"/>
    </row>
    <row r="18" spans="1:6" ht="15.6" x14ac:dyDescent="0.35">
      <c r="A18" s="536" t="s">
        <v>344</v>
      </c>
      <c r="B18" s="1893">
        <v>300000</v>
      </c>
      <c r="C18" s="535">
        <v>500</v>
      </c>
      <c r="D18" s="677">
        <v>225</v>
      </c>
      <c r="E18" s="675">
        <f t="shared" si="0"/>
        <v>0.45</v>
      </c>
    </row>
    <row r="19" spans="1:6" ht="31.2" x14ac:dyDescent="0.35">
      <c r="A19" s="537" t="s">
        <v>452</v>
      </c>
      <c r="B19" s="1893">
        <v>300000</v>
      </c>
      <c r="C19" s="535">
        <v>200</v>
      </c>
      <c r="D19" s="677">
        <v>200</v>
      </c>
      <c r="E19" s="675">
        <f t="shared" si="0"/>
        <v>1</v>
      </c>
    </row>
    <row r="20" spans="1:6" ht="15.6" x14ac:dyDescent="0.35">
      <c r="A20" s="537" t="s">
        <v>451</v>
      </c>
      <c r="B20" s="1893">
        <v>250000</v>
      </c>
      <c r="C20" s="535">
        <v>250</v>
      </c>
      <c r="D20" s="677">
        <v>325</v>
      </c>
      <c r="E20" s="675">
        <f t="shared" si="0"/>
        <v>1.3</v>
      </c>
    </row>
    <row r="21" spans="1:6" ht="15.6" x14ac:dyDescent="0.35">
      <c r="A21" s="1104" t="s">
        <v>622</v>
      </c>
      <c r="B21" s="2300">
        <v>228600</v>
      </c>
      <c r="C21" s="566"/>
      <c r="D21" s="678"/>
      <c r="E21" s="675"/>
    </row>
    <row r="22" spans="1:6" ht="15.6" x14ac:dyDescent="0.35">
      <c r="A22" s="1104" t="s">
        <v>624</v>
      </c>
      <c r="B22" s="2300">
        <v>102670</v>
      </c>
      <c r="C22" s="566"/>
      <c r="D22" s="678"/>
      <c r="E22" s="675"/>
    </row>
    <row r="23" spans="1:6" ht="15.6" x14ac:dyDescent="0.35">
      <c r="A23" s="1104" t="s">
        <v>623</v>
      </c>
      <c r="B23" s="2300">
        <v>50000</v>
      </c>
      <c r="C23" s="566"/>
      <c r="D23" s="678"/>
      <c r="E23" s="675"/>
    </row>
    <row r="24" spans="1:6" ht="15.6" x14ac:dyDescent="0.35">
      <c r="A24" s="1104" t="s">
        <v>468</v>
      </c>
      <c r="B24" s="2300">
        <v>670000</v>
      </c>
      <c r="C24" s="566">
        <v>385</v>
      </c>
      <c r="D24" s="678">
        <v>80</v>
      </c>
      <c r="E24" s="675">
        <f t="shared" si="0"/>
        <v>0.20779220779220781</v>
      </c>
    </row>
    <row r="25" spans="1:6" ht="15.6" x14ac:dyDescent="0.35">
      <c r="A25" s="1104" t="s">
        <v>480</v>
      </c>
      <c r="B25" s="1893">
        <v>900000</v>
      </c>
      <c r="C25" s="1105">
        <v>800</v>
      </c>
      <c r="D25" s="1103"/>
      <c r="E25" s="675"/>
    </row>
    <row r="26" spans="1:6" ht="15.6" x14ac:dyDescent="0.35">
      <c r="A26" s="537" t="s">
        <v>482</v>
      </c>
      <c r="B26" s="1893">
        <v>360000</v>
      </c>
      <c r="C26" s="1106">
        <v>432</v>
      </c>
      <c r="D26" s="1103"/>
      <c r="E26" s="675"/>
    </row>
    <row r="27" spans="1:6" ht="16.2" thickBot="1" x14ac:dyDescent="0.4">
      <c r="A27" s="1104" t="s">
        <v>618</v>
      </c>
      <c r="B27" s="2300">
        <v>156000</v>
      </c>
      <c r="C27" s="1107">
        <v>432</v>
      </c>
      <c r="D27" s="1103"/>
      <c r="E27" s="675"/>
    </row>
    <row r="28" spans="1:6" ht="15.6" x14ac:dyDescent="0.35">
      <c r="A28" s="1104" t="s">
        <v>541</v>
      </c>
      <c r="B28" s="2301">
        <v>700000</v>
      </c>
      <c r="C28" s="1163"/>
      <c r="D28" s="1103"/>
      <c r="E28" s="675"/>
    </row>
    <row r="29" spans="1:6" ht="15.6" x14ac:dyDescent="0.35">
      <c r="A29" s="1104" t="s">
        <v>549</v>
      </c>
      <c r="B29" s="2301">
        <v>500000</v>
      </c>
      <c r="C29" s="1163"/>
      <c r="D29" s="1103"/>
      <c r="E29" s="675"/>
    </row>
    <row r="30" spans="1:6" ht="15.6" x14ac:dyDescent="0.35">
      <c r="A30" s="1104" t="s">
        <v>510</v>
      </c>
      <c r="B30" s="2301">
        <v>310000</v>
      </c>
      <c r="C30" s="1163"/>
      <c r="D30" s="1103"/>
      <c r="E30" s="675"/>
    </row>
    <row r="31" spans="1:6" ht="15.6" x14ac:dyDescent="0.35">
      <c r="A31" s="1104" t="s">
        <v>629</v>
      </c>
      <c r="B31" s="2301">
        <v>390000</v>
      </c>
      <c r="C31" s="1163"/>
      <c r="D31" s="1103"/>
      <c r="E31" s="675"/>
    </row>
    <row r="32" spans="1:6" ht="16.2" thickBot="1" x14ac:dyDescent="0.4">
      <c r="A32" s="538" t="s">
        <v>540</v>
      </c>
      <c r="B32" s="2302">
        <v>50000</v>
      </c>
      <c r="C32" s="1163"/>
      <c r="D32" s="1103"/>
      <c r="E32" s="675"/>
    </row>
    <row r="33" spans="1:9" ht="16.2" thickBot="1" x14ac:dyDescent="0.4">
      <c r="A33" s="539" t="s">
        <v>343</v>
      </c>
      <c r="B33" s="1894">
        <f>SUM(B34:B34)</f>
        <v>6127431</v>
      </c>
      <c r="C33" s="479">
        <f>SUM(C34:C36)</f>
        <v>1355</v>
      </c>
      <c r="D33" s="679">
        <f>SUM(D34:D36)</f>
        <v>3538</v>
      </c>
      <c r="E33" s="675">
        <f t="shared" si="0"/>
        <v>2.6110701107011072</v>
      </c>
    </row>
    <row r="34" spans="1:9" ht="15.6" x14ac:dyDescent="0.35">
      <c r="A34" s="572" t="s">
        <v>487</v>
      </c>
      <c r="B34" s="1895">
        <f>SUM(B35:B36)</f>
        <v>6127431</v>
      </c>
      <c r="C34" s="573">
        <v>1355</v>
      </c>
      <c r="D34" s="674">
        <v>2320</v>
      </c>
      <c r="E34" s="675">
        <f t="shared" si="0"/>
        <v>1.7121771217712176</v>
      </c>
    </row>
    <row r="35" spans="1:9" ht="15.6" x14ac:dyDescent="0.35">
      <c r="A35" s="1110" t="s">
        <v>488</v>
      </c>
      <c r="B35" s="1896">
        <v>4462342</v>
      </c>
      <c r="C35" s="574"/>
      <c r="D35" s="693">
        <v>142</v>
      </c>
      <c r="E35" s="675" t="e">
        <f t="shared" si="0"/>
        <v>#DIV/0!</v>
      </c>
    </row>
    <row r="36" spans="1:9" ht="16.2" thickBot="1" x14ac:dyDescent="0.4">
      <c r="A36" s="1111" t="s">
        <v>489</v>
      </c>
      <c r="B36" s="1897">
        <v>1665089</v>
      </c>
      <c r="C36" s="567"/>
      <c r="D36" s="694">
        <v>1076</v>
      </c>
      <c r="E36" s="675" t="e">
        <f t="shared" si="0"/>
        <v>#DIV/0!</v>
      </c>
    </row>
    <row r="37" spans="1:9" ht="16.2" thickBot="1" x14ac:dyDescent="0.4">
      <c r="A37" s="1902"/>
      <c r="B37" s="1905"/>
      <c r="C37" s="1899"/>
      <c r="D37" s="1900"/>
      <c r="E37" s="675"/>
    </row>
    <row r="38" spans="1:9" ht="16.2" thickBot="1" x14ac:dyDescent="0.4">
      <c r="A38" s="1903" t="s">
        <v>525</v>
      </c>
      <c r="B38" s="1907">
        <f>SUM(B39)</f>
        <v>0</v>
      </c>
      <c r="C38" s="1901"/>
      <c r="D38" s="1900"/>
      <c r="E38" s="675"/>
    </row>
    <row r="39" spans="1:9" ht="16.2" thickBot="1" x14ac:dyDescent="0.4">
      <c r="A39" s="1908" t="s">
        <v>526</v>
      </c>
      <c r="B39" s="2303"/>
      <c r="C39" s="1901"/>
      <c r="D39" s="1900"/>
      <c r="E39" s="675"/>
    </row>
    <row r="40" spans="1:9" ht="16.2" thickBot="1" x14ac:dyDescent="0.4">
      <c r="A40" s="1904"/>
      <c r="B40" s="1906"/>
      <c r="C40" s="1901"/>
      <c r="D40" s="1900"/>
      <c r="E40" s="675"/>
    </row>
    <row r="41" spans="1:9" ht="16.2" thickBot="1" x14ac:dyDescent="0.4">
      <c r="A41" s="569" t="s">
        <v>420</v>
      </c>
      <c r="B41" s="1898">
        <f>SUM(B42)</f>
        <v>29645490</v>
      </c>
      <c r="C41" s="570">
        <f>SUM(C42)</f>
        <v>3601</v>
      </c>
      <c r="D41" s="672">
        <f>SUM(D42)</f>
        <v>342</v>
      </c>
      <c r="E41" s="675">
        <f t="shared" si="0"/>
        <v>9.4973618439322408E-2</v>
      </c>
      <c r="G41" s="228"/>
      <c r="H41" s="1402"/>
      <c r="I41" s="1402">
        <f>SUM(B6+B41)</f>
        <v>111248760</v>
      </c>
    </row>
    <row r="42" spans="1:9" s="1115" customFormat="1" ht="16.2" thickBot="1" x14ac:dyDescent="0.4">
      <c r="A42" s="1162" t="s">
        <v>615</v>
      </c>
      <c r="B42" s="2304">
        <v>29645490</v>
      </c>
      <c r="C42" s="1112">
        <v>3601</v>
      </c>
      <c r="D42" s="1113">
        <v>342</v>
      </c>
      <c r="E42" s="1114">
        <f t="shared" si="0"/>
        <v>9.4973618439322408E-2</v>
      </c>
    </row>
    <row r="43" spans="1:9" ht="15.6" x14ac:dyDescent="0.35">
      <c r="B43" s="10"/>
      <c r="F43" s="228"/>
    </row>
    <row r="44" spans="1:9" ht="15.6" x14ac:dyDescent="0.35">
      <c r="B44" s="10"/>
    </row>
    <row r="45" spans="1:9" ht="15.6" x14ac:dyDescent="0.35">
      <c r="B45" s="10"/>
    </row>
    <row r="46" spans="1:9" ht="15.6" x14ac:dyDescent="0.35">
      <c r="B46" s="10"/>
    </row>
    <row r="47" spans="1:9" ht="15.6" x14ac:dyDescent="0.35">
      <c r="B47" s="10"/>
    </row>
    <row r="48" spans="1:9" ht="15.6" x14ac:dyDescent="0.35">
      <c r="B48" s="10"/>
    </row>
    <row r="49" spans="2:2" ht="15.6" x14ac:dyDescent="0.35">
      <c r="B49" s="10"/>
    </row>
    <row r="50" spans="2:2" ht="15.6" x14ac:dyDescent="0.35">
      <c r="B50" s="10"/>
    </row>
    <row r="51" spans="2:2" ht="15.6" x14ac:dyDescent="0.35">
      <c r="B51" s="10"/>
    </row>
    <row r="52" spans="2:2" ht="15.6" x14ac:dyDescent="0.35">
      <c r="B52" s="10"/>
    </row>
    <row r="53" spans="2:2" ht="15.6" x14ac:dyDescent="0.35">
      <c r="B53" s="10"/>
    </row>
    <row r="54" spans="2:2" ht="15.6" x14ac:dyDescent="0.35">
      <c r="B54" s="10"/>
    </row>
    <row r="55" spans="2:2" ht="15.6" x14ac:dyDescent="0.35">
      <c r="B55" s="10"/>
    </row>
    <row r="56" spans="2:2" ht="15.6" x14ac:dyDescent="0.35">
      <c r="B56" s="10"/>
    </row>
    <row r="57" spans="2:2" ht="15.6" x14ac:dyDescent="0.35">
      <c r="B57" s="10"/>
    </row>
    <row r="58" spans="2:2" ht="15.6" x14ac:dyDescent="0.35">
      <c r="B58" s="10"/>
    </row>
    <row r="59" spans="2:2" ht="15.6" x14ac:dyDescent="0.35">
      <c r="B59" s="10"/>
    </row>
    <row r="60" spans="2:2" ht="15.6" x14ac:dyDescent="0.35">
      <c r="B60" s="10"/>
    </row>
    <row r="61" spans="2:2" ht="15.6" x14ac:dyDescent="0.35">
      <c r="B61" s="10"/>
    </row>
    <row r="62" spans="2:2" ht="15.6" x14ac:dyDescent="0.35">
      <c r="B62" s="10"/>
    </row>
    <row r="63" spans="2:2" ht="15.6" x14ac:dyDescent="0.35">
      <c r="B63" s="10"/>
    </row>
    <row r="64" spans="2:2" ht="15.6" x14ac:dyDescent="0.35">
      <c r="B64" s="10"/>
    </row>
    <row r="65" spans="2:2" ht="15.6" x14ac:dyDescent="0.35">
      <c r="B65" s="10"/>
    </row>
    <row r="66" spans="2:2" ht="15.6" x14ac:dyDescent="0.35">
      <c r="B66" s="10"/>
    </row>
    <row r="67" spans="2:2" ht="15.6" x14ac:dyDescent="0.35">
      <c r="B67" s="10"/>
    </row>
    <row r="68" spans="2:2" ht="15.6" x14ac:dyDescent="0.35">
      <c r="B68" s="10"/>
    </row>
    <row r="69" spans="2:2" ht="15.6" x14ac:dyDescent="0.35">
      <c r="B69" s="10"/>
    </row>
    <row r="70" spans="2:2" ht="15.6" x14ac:dyDescent="0.35">
      <c r="B70" s="10"/>
    </row>
    <row r="71" spans="2:2" ht="15.6" x14ac:dyDescent="0.35">
      <c r="B71" s="10"/>
    </row>
    <row r="72" spans="2:2" ht="15.6" x14ac:dyDescent="0.35">
      <c r="B72" s="10"/>
    </row>
    <row r="73" spans="2:2" ht="15.6" x14ac:dyDescent="0.35">
      <c r="B73" s="10"/>
    </row>
    <row r="74" spans="2:2" ht="15.6" x14ac:dyDescent="0.35">
      <c r="B74" s="10"/>
    </row>
    <row r="75" spans="2:2" ht="15.6" x14ac:dyDescent="0.35">
      <c r="B75" s="10"/>
    </row>
    <row r="76" spans="2:2" ht="15.6" x14ac:dyDescent="0.35">
      <c r="B76" s="10"/>
    </row>
    <row r="77" spans="2:2" ht="15.6" x14ac:dyDescent="0.35">
      <c r="B77" s="10"/>
    </row>
    <row r="78" spans="2:2" ht="15.6" x14ac:dyDescent="0.35">
      <c r="B78" s="10"/>
    </row>
    <row r="79" spans="2:2" ht="15.6" x14ac:dyDescent="0.35">
      <c r="B79" s="10"/>
    </row>
    <row r="80" spans="2:2" ht="15.6" x14ac:dyDescent="0.35">
      <c r="B80" s="10"/>
    </row>
    <row r="81" spans="2:2" ht="15.6" x14ac:dyDescent="0.35">
      <c r="B81" s="10"/>
    </row>
    <row r="82" spans="2:2" ht="15.6" x14ac:dyDescent="0.35">
      <c r="B82" s="10"/>
    </row>
    <row r="83" spans="2:2" ht="15.6" x14ac:dyDescent="0.35">
      <c r="B83" s="10"/>
    </row>
    <row r="84" spans="2:2" ht="15.6" x14ac:dyDescent="0.35">
      <c r="B84" s="10"/>
    </row>
    <row r="85" spans="2:2" ht="15.6" x14ac:dyDescent="0.35">
      <c r="B85" s="10"/>
    </row>
    <row r="86" spans="2:2" ht="15.6" x14ac:dyDescent="0.35">
      <c r="B86" s="10"/>
    </row>
    <row r="87" spans="2:2" ht="15.6" x14ac:dyDescent="0.35">
      <c r="B87" s="10"/>
    </row>
    <row r="88" spans="2:2" ht="15.6" x14ac:dyDescent="0.35">
      <c r="B88" s="10"/>
    </row>
    <row r="89" spans="2:2" ht="15.6" x14ac:dyDescent="0.35">
      <c r="B89" s="10"/>
    </row>
    <row r="90" spans="2:2" ht="15.6" x14ac:dyDescent="0.35">
      <c r="B90" s="10"/>
    </row>
    <row r="91" spans="2:2" ht="15.6" x14ac:dyDescent="0.35">
      <c r="B91" s="10"/>
    </row>
    <row r="92" spans="2:2" ht="15.6" x14ac:dyDescent="0.35">
      <c r="B92" s="10"/>
    </row>
    <row r="93" spans="2:2" ht="15.6" x14ac:dyDescent="0.35">
      <c r="B93" s="10"/>
    </row>
    <row r="94" spans="2:2" ht="15.6" x14ac:dyDescent="0.35">
      <c r="B94" s="10"/>
    </row>
    <row r="95" spans="2:2" ht="15.6" x14ac:dyDescent="0.35">
      <c r="B95" s="10"/>
    </row>
    <row r="96" spans="2:2" ht="15.6" x14ac:dyDescent="0.35">
      <c r="B96" s="10"/>
    </row>
    <row r="97" spans="2:2" ht="15.6" x14ac:dyDescent="0.35">
      <c r="B97" s="10"/>
    </row>
    <row r="98" spans="2:2" ht="15.6" x14ac:dyDescent="0.35">
      <c r="B98" s="10"/>
    </row>
    <row r="99" spans="2:2" ht="15.6" x14ac:dyDescent="0.35">
      <c r="B99" s="10"/>
    </row>
    <row r="100" spans="2:2" ht="15.6" x14ac:dyDescent="0.35">
      <c r="B100" s="10"/>
    </row>
    <row r="101" spans="2:2" ht="15.6" x14ac:dyDescent="0.35">
      <c r="B101" s="10"/>
    </row>
    <row r="102" spans="2:2" ht="15.6" x14ac:dyDescent="0.35">
      <c r="B102" s="10"/>
    </row>
    <row r="103" spans="2:2" ht="15.6" x14ac:dyDescent="0.35">
      <c r="B103" s="10"/>
    </row>
    <row r="104" spans="2:2" ht="15.6" x14ac:dyDescent="0.35">
      <c r="B104" s="10"/>
    </row>
    <row r="105" spans="2:2" ht="15.6" x14ac:dyDescent="0.35">
      <c r="B105" s="10"/>
    </row>
    <row r="106" spans="2:2" ht="15.6" x14ac:dyDescent="0.35">
      <c r="B106" s="10"/>
    </row>
    <row r="107" spans="2:2" ht="15.6" x14ac:dyDescent="0.35">
      <c r="B107" s="10"/>
    </row>
    <row r="108" spans="2:2" ht="15.6" x14ac:dyDescent="0.35">
      <c r="B108" s="10"/>
    </row>
    <row r="109" spans="2:2" ht="15.6" x14ac:dyDescent="0.35">
      <c r="B109" s="10"/>
    </row>
    <row r="110" spans="2:2" ht="15.6" x14ac:dyDescent="0.35">
      <c r="B110" s="10"/>
    </row>
    <row r="111" spans="2:2" ht="15.6" x14ac:dyDescent="0.35">
      <c r="B111" s="10"/>
    </row>
    <row r="112" spans="2:2" ht="15.6" x14ac:dyDescent="0.35">
      <c r="B112" s="10"/>
    </row>
    <row r="113" spans="2:2" ht="15.6" x14ac:dyDescent="0.35">
      <c r="B113" s="10"/>
    </row>
    <row r="114" spans="2:2" ht="15.6" x14ac:dyDescent="0.35">
      <c r="B114" s="10"/>
    </row>
    <row r="115" spans="2:2" ht="15.6" x14ac:dyDescent="0.35">
      <c r="B115" s="10"/>
    </row>
    <row r="116" spans="2:2" ht="15.6" x14ac:dyDescent="0.35">
      <c r="B116" s="10"/>
    </row>
    <row r="117" spans="2:2" ht="15.6" x14ac:dyDescent="0.35">
      <c r="B117" s="10"/>
    </row>
    <row r="118" spans="2:2" ht="15.6" x14ac:dyDescent="0.35">
      <c r="B118" s="10"/>
    </row>
    <row r="119" spans="2:2" ht="15.6" x14ac:dyDescent="0.35">
      <c r="B119" s="10"/>
    </row>
    <row r="120" spans="2:2" ht="15.6" x14ac:dyDescent="0.35">
      <c r="B120" s="10"/>
    </row>
    <row r="121" spans="2:2" ht="15.6" x14ac:dyDescent="0.35">
      <c r="B121" s="10"/>
    </row>
    <row r="122" spans="2:2" ht="15.6" x14ac:dyDescent="0.35">
      <c r="B122" s="10"/>
    </row>
    <row r="123" spans="2:2" ht="15.6" x14ac:dyDescent="0.35">
      <c r="B123" s="10"/>
    </row>
    <row r="124" spans="2:2" ht="15.6" x14ac:dyDescent="0.35">
      <c r="B124" s="10"/>
    </row>
    <row r="125" spans="2:2" ht="15.6" x14ac:dyDescent="0.35">
      <c r="B125" s="10"/>
    </row>
    <row r="126" spans="2:2" ht="15.6" x14ac:dyDescent="0.35">
      <c r="B126" s="10"/>
    </row>
    <row r="127" spans="2:2" ht="15.6" x14ac:dyDescent="0.35">
      <c r="B127" s="10"/>
    </row>
    <row r="128" spans="2:2" ht="15.6" x14ac:dyDescent="0.35">
      <c r="B128" s="10"/>
    </row>
    <row r="129" spans="2:2" ht="15.6" x14ac:dyDescent="0.35">
      <c r="B129" s="10"/>
    </row>
    <row r="130" spans="2:2" ht="15.6" x14ac:dyDescent="0.35">
      <c r="B130" s="10"/>
    </row>
    <row r="131" spans="2:2" ht="15.6" x14ac:dyDescent="0.35">
      <c r="B131" s="10"/>
    </row>
    <row r="132" spans="2:2" ht="15.6" x14ac:dyDescent="0.35">
      <c r="B132" s="10"/>
    </row>
    <row r="133" spans="2:2" ht="15.6" x14ac:dyDescent="0.35">
      <c r="B133" s="10"/>
    </row>
    <row r="134" spans="2:2" ht="15.6" x14ac:dyDescent="0.35">
      <c r="B134" s="10"/>
    </row>
    <row r="135" spans="2:2" ht="15.6" x14ac:dyDescent="0.35">
      <c r="B135" s="10"/>
    </row>
    <row r="136" spans="2:2" ht="15.6" x14ac:dyDescent="0.35">
      <c r="B136" s="10"/>
    </row>
    <row r="137" spans="2:2" ht="15.6" x14ac:dyDescent="0.35">
      <c r="B137" s="10"/>
    </row>
    <row r="138" spans="2:2" ht="15.6" x14ac:dyDescent="0.35">
      <c r="B138" s="10"/>
    </row>
    <row r="139" spans="2:2" ht="15.6" x14ac:dyDescent="0.35">
      <c r="B139" s="10"/>
    </row>
    <row r="140" spans="2:2" ht="15.6" x14ac:dyDescent="0.35">
      <c r="B140" s="10"/>
    </row>
    <row r="141" spans="2:2" ht="15.6" x14ac:dyDescent="0.35">
      <c r="B141" s="10"/>
    </row>
    <row r="142" spans="2:2" ht="15.6" x14ac:dyDescent="0.35">
      <c r="B142" s="10"/>
    </row>
    <row r="143" spans="2:2" ht="15.6" x14ac:dyDescent="0.35">
      <c r="B143" s="10"/>
    </row>
    <row r="144" spans="2:2" ht="15.6" x14ac:dyDescent="0.35">
      <c r="B144" s="10"/>
    </row>
    <row r="145" spans="2:2" ht="15.6" x14ac:dyDescent="0.35">
      <c r="B145" s="10"/>
    </row>
    <row r="146" spans="2:2" ht="15.6" x14ac:dyDescent="0.35">
      <c r="B146" s="10"/>
    </row>
    <row r="147" spans="2:2" ht="15.6" x14ac:dyDescent="0.35">
      <c r="B147" s="10"/>
    </row>
    <row r="148" spans="2:2" ht="15.6" x14ac:dyDescent="0.35">
      <c r="B148" s="10"/>
    </row>
    <row r="149" spans="2:2" ht="15.6" x14ac:dyDescent="0.35">
      <c r="B149" s="10"/>
    </row>
    <row r="150" spans="2:2" ht="15.6" x14ac:dyDescent="0.35">
      <c r="B150" s="10"/>
    </row>
    <row r="151" spans="2:2" ht="15.6" x14ac:dyDescent="0.35">
      <c r="B151" s="10"/>
    </row>
    <row r="152" spans="2:2" ht="15.6" x14ac:dyDescent="0.35">
      <c r="B152" s="10"/>
    </row>
    <row r="153" spans="2:2" ht="15.6" x14ac:dyDescent="0.35">
      <c r="B153" s="10"/>
    </row>
    <row r="154" spans="2:2" ht="15.6" x14ac:dyDescent="0.35">
      <c r="B154" s="10"/>
    </row>
    <row r="155" spans="2:2" ht="15.6" x14ac:dyDescent="0.35">
      <c r="B155" s="10"/>
    </row>
    <row r="156" spans="2:2" ht="15.6" x14ac:dyDescent="0.35">
      <c r="B156" s="10"/>
    </row>
    <row r="157" spans="2:2" ht="15.6" x14ac:dyDescent="0.35">
      <c r="B157" s="10"/>
    </row>
    <row r="158" spans="2:2" ht="15.6" x14ac:dyDescent="0.35">
      <c r="B158" s="10"/>
    </row>
    <row r="159" spans="2:2" ht="15.6" x14ac:dyDescent="0.35">
      <c r="B159" s="10"/>
    </row>
    <row r="160" spans="2:2" ht="15.6" x14ac:dyDescent="0.35">
      <c r="B160" s="10"/>
    </row>
    <row r="161" spans="2:2" ht="15.6" x14ac:dyDescent="0.35">
      <c r="B161" s="10"/>
    </row>
    <row r="162" spans="2:2" ht="15.6" x14ac:dyDescent="0.35">
      <c r="B162" s="10"/>
    </row>
    <row r="163" spans="2:2" ht="15.6" x14ac:dyDescent="0.35">
      <c r="B163" s="10"/>
    </row>
    <row r="164" spans="2:2" ht="15.6" x14ac:dyDescent="0.35">
      <c r="B164" s="10"/>
    </row>
    <row r="165" spans="2:2" ht="15.6" x14ac:dyDescent="0.35">
      <c r="B165" s="10"/>
    </row>
    <row r="166" spans="2:2" ht="15.6" x14ac:dyDescent="0.35">
      <c r="B166" s="10"/>
    </row>
    <row r="167" spans="2:2" ht="15.6" x14ac:dyDescent="0.35">
      <c r="B167" s="10"/>
    </row>
    <row r="168" spans="2:2" ht="15.6" x14ac:dyDescent="0.35">
      <c r="B168" s="10"/>
    </row>
    <row r="169" spans="2:2" ht="15.6" x14ac:dyDescent="0.35">
      <c r="B169" s="10"/>
    </row>
    <row r="170" spans="2:2" ht="15.6" x14ac:dyDescent="0.35">
      <c r="B170" s="10"/>
    </row>
    <row r="171" spans="2:2" ht="15.6" x14ac:dyDescent="0.35">
      <c r="B171" s="10"/>
    </row>
    <row r="172" spans="2:2" ht="15.6" x14ac:dyDescent="0.35">
      <c r="B172" s="10"/>
    </row>
    <row r="173" spans="2:2" ht="15.6" x14ac:dyDescent="0.35">
      <c r="B173" s="10"/>
    </row>
    <row r="174" spans="2:2" ht="15.6" x14ac:dyDescent="0.35">
      <c r="B174" s="10"/>
    </row>
    <row r="175" spans="2:2" ht="15.6" x14ac:dyDescent="0.35">
      <c r="B175" s="10"/>
    </row>
    <row r="176" spans="2:2" ht="15.6" x14ac:dyDescent="0.35">
      <c r="B176" s="10"/>
    </row>
    <row r="177" spans="2:2" ht="15.6" x14ac:dyDescent="0.35">
      <c r="B177" s="10"/>
    </row>
    <row r="178" spans="2:2" ht="15.6" x14ac:dyDescent="0.35">
      <c r="B178" s="10"/>
    </row>
    <row r="179" spans="2:2" ht="15.6" x14ac:dyDescent="0.35">
      <c r="B179" s="10"/>
    </row>
    <row r="180" spans="2:2" ht="15.6" x14ac:dyDescent="0.35">
      <c r="B180" s="10"/>
    </row>
    <row r="181" spans="2:2" ht="15.6" x14ac:dyDescent="0.35">
      <c r="B181" s="10"/>
    </row>
    <row r="182" spans="2:2" ht="15.6" x14ac:dyDescent="0.35">
      <c r="B182" s="10"/>
    </row>
    <row r="183" spans="2:2" ht="15.6" x14ac:dyDescent="0.35">
      <c r="B183" s="10"/>
    </row>
    <row r="184" spans="2:2" ht="15.6" x14ac:dyDescent="0.35">
      <c r="B184" s="10"/>
    </row>
    <row r="185" spans="2:2" ht="15.6" x14ac:dyDescent="0.35">
      <c r="B185" s="10"/>
    </row>
    <row r="186" spans="2:2" ht="15.6" x14ac:dyDescent="0.35">
      <c r="B186" s="10"/>
    </row>
    <row r="187" spans="2:2" ht="15.6" x14ac:dyDescent="0.35">
      <c r="B187" s="10"/>
    </row>
    <row r="188" spans="2:2" ht="15.6" x14ac:dyDescent="0.35">
      <c r="B188" s="10"/>
    </row>
    <row r="189" spans="2:2" ht="15.6" x14ac:dyDescent="0.35">
      <c r="B189" s="10"/>
    </row>
    <row r="190" spans="2:2" ht="15.6" x14ac:dyDescent="0.35">
      <c r="B190" s="10"/>
    </row>
    <row r="191" spans="2:2" ht="15.6" x14ac:dyDescent="0.35">
      <c r="B191" s="10"/>
    </row>
    <row r="192" spans="2:2" ht="15.6" x14ac:dyDescent="0.35">
      <c r="B192" s="10"/>
    </row>
    <row r="193" spans="2:2" ht="15.6" x14ac:dyDescent="0.35">
      <c r="B193" s="10"/>
    </row>
    <row r="194" spans="2:2" ht="15.6" x14ac:dyDescent="0.35">
      <c r="B194" s="10"/>
    </row>
    <row r="195" spans="2:2" ht="15.6" x14ac:dyDescent="0.35">
      <c r="B195" s="10"/>
    </row>
    <row r="196" spans="2:2" ht="15.6" x14ac:dyDescent="0.35">
      <c r="B196" s="10"/>
    </row>
    <row r="197" spans="2:2" ht="15.6" x14ac:dyDescent="0.35">
      <c r="B197" s="10"/>
    </row>
    <row r="198" spans="2:2" ht="15.6" x14ac:dyDescent="0.35">
      <c r="B198" s="10"/>
    </row>
    <row r="199" spans="2:2" ht="15.6" x14ac:dyDescent="0.35">
      <c r="B199" s="10"/>
    </row>
    <row r="200" spans="2:2" ht="15.6" x14ac:dyDescent="0.35">
      <c r="B200" s="10"/>
    </row>
    <row r="201" spans="2:2" ht="15.6" x14ac:dyDescent="0.35">
      <c r="B201" s="10"/>
    </row>
    <row r="202" spans="2:2" ht="15.6" x14ac:dyDescent="0.35">
      <c r="B202" s="10"/>
    </row>
    <row r="203" spans="2:2" ht="15.6" x14ac:dyDescent="0.35">
      <c r="B203" s="10"/>
    </row>
    <row r="204" spans="2:2" ht="15.6" x14ac:dyDescent="0.35">
      <c r="B204" s="10"/>
    </row>
    <row r="205" spans="2:2" ht="15.6" x14ac:dyDescent="0.35">
      <c r="B205" s="10"/>
    </row>
    <row r="206" spans="2:2" ht="15.6" x14ac:dyDescent="0.35">
      <c r="B206" s="10"/>
    </row>
    <row r="207" spans="2:2" ht="15.6" x14ac:dyDescent="0.35">
      <c r="B207" s="10"/>
    </row>
    <row r="208" spans="2:2" ht="15.6" x14ac:dyDescent="0.35">
      <c r="B208" s="10"/>
    </row>
    <row r="209" spans="2:2" ht="15.6" x14ac:dyDescent="0.35">
      <c r="B209" s="10"/>
    </row>
    <row r="210" spans="2:2" ht="15.6" x14ac:dyDescent="0.35">
      <c r="B210" s="10"/>
    </row>
    <row r="211" spans="2:2" ht="15.6" x14ac:dyDescent="0.35">
      <c r="B211" s="10"/>
    </row>
    <row r="212" spans="2:2" ht="15.6" x14ac:dyDescent="0.35">
      <c r="B212" s="10"/>
    </row>
    <row r="213" spans="2:2" ht="15.6" x14ac:dyDescent="0.35">
      <c r="B213" s="10"/>
    </row>
    <row r="214" spans="2:2" ht="15.6" x14ac:dyDescent="0.35">
      <c r="B214" s="10"/>
    </row>
    <row r="215" spans="2:2" ht="15.6" x14ac:dyDescent="0.35">
      <c r="B215" s="10"/>
    </row>
    <row r="216" spans="2:2" ht="15.6" x14ac:dyDescent="0.35">
      <c r="B216" s="10"/>
    </row>
    <row r="217" spans="2:2" ht="15.6" x14ac:dyDescent="0.35">
      <c r="B217" s="10"/>
    </row>
    <row r="218" spans="2:2" ht="15.6" x14ac:dyDescent="0.35">
      <c r="B218" s="10"/>
    </row>
    <row r="219" spans="2:2" ht="15.6" x14ac:dyDescent="0.35">
      <c r="B219" s="10"/>
    </row>
    <row r="220" spans="2:2" ht="15.6" x14ac:dyDescent="0.35">
      <c r="B220" s="10"/>
    </row>
    <row r="221" spans="2:2" ht="15.6" x14ac:dyDescent="0.35">
      <c r="B221" s="10"/>
    </row>
    <row r="222" spans="2:2" ht="15.6" x14ac:dyDescent="0.35">
      <c r="B222" s="10"/>
    </row>
    <row r="223" spans="2:2" ht="15.6" x14ac:dyDescent="0.35">
      <c r="B223" s="10"/>
    </row>
    <row r="224" spans="2:2" ht="15.6" x14ac:dyDescent="0.35">
      <c r="B224" s="10"/>
    </row>
    <row r="225" spans="2:2" ht="15.6" x14ac:dyDescent="0.35">
      <c r="B225" s="10"/>
    </row>
    <row r="226" spans="2:2" ht="15.6" x14ac:dyDescent="0.35">
      <c r="B226" s="10"/>
    </row>
    <row r="227" spans="2:2" ht="15.6" x14ac:dyDescent="0.35">
      <c r="B227" s="10"/>
    </row>
    <row r="228" spans="2:2" ht="15.6" x14ac:dyDescent="0.35">
      <c r="B228" s="10"/>
    </row>
    <row r="229" spans="2:2" ht="15.6" x14ac:dyDescent="0.35">
      <c r="B229" s="10"/>
    </row>
    <row r="230" spans="2:2" ht="15.6" x14ac:dyDescent="0.35">
      <c r="B230" s="10"/>
    </row>
    <row r="231" spans="2:2" ht="15.6" x14ac:dyDescent="0.35">
      <c r="B231" s="10"/>
    </row>
    <row r="232" spans="2:2" ht="15.6" x14ac:dyDescent="0.35">
      <c r="B232" s="10"/>
    </row>
    <row r="233" spans="2:2" ht="15.6" x14ac:dyDescent="0.35">
      <c r="B233" s="10"/>
    </row>
    <row r="234" spans="2:2" ht="15.6" x14ac:dyDescent="0.35">
      <c r="B234" s="10"/>
    </row>
    <row r="235" spans="2:2" ht="15.6" x14ac:dyDescent="0.35">
      <c r="B235" s="10"/>
    </row>
    <row r="236" spans="2:2" ht="15.6" x14ac:dyDescent="0.35">
      <c r="B236" s="10"/>
    </row>
    <row r="237" spans="2:2" ht="15.6" x14ac:dyDescent="0.35">
      <c r="B237" s="10"/>
    </row>
    <row r="238" spans="2:2" ht="15.6" x14ac:dyDescent="0.35">
      <c r="B238" s="10"/>
    </row>
    <row r="239" spans="2:2" ht="15.6" x14ac:dyDescent="0.35">
      <c r="B239" s="10"/>
    </row>
    <row r="240" spans="2:2" ht="15.6" x14ac:dyDescent="0.35">
      <c r="B240" s="10"/>
    </row>
    <row r="241" spans="2:2" ht="15.6" x14ac:dyDescent="0.35">
      <c r="B241" s="10"/>
    </row>
    <row r="242" spans="2:2" ht="15.6" x14ac:dyDescent="0.35">
      <c r="B242" s="10"/>
    </row>
    <row r="243" spans="2:2" ht="15.6" x14ac:dyDescent="0.35">
      <c r="B243" s="10"/>
    </row>
    <row r="244" spans="2:2" ht="15.6" x14ac:dyDescent="0.35">
      <c r="B244" s="10"/>
    </row>
    <row r="245" spans="2:2" ht="15.6" x14ac:dyDescent="0.35">
      <c r="B245" s="10"/>
    </row>
    <row r="246" spans="2:2" ht="15.6" x14ac:dyDescent="0.35">
      <c r="B246" s="10"/>
    </row>
    <row r="247" spans="2:2" ht="15.6" x14ac:dyDescent="0.35">
      <c r="B247" s="10"/>
    </row>
    <row r="248" spans="2:2" ht="15.6" x14ac:dyDescent="0.35">
      <c r="B248" s="10"/>
    </row>
    <row r="249" spans="2:2" ht="15.6" x14ac:dyDescent="0.35">
      <c r="B249" s="10"/>
    </row>
    <row r="250" spans="2:2" ht="15.6" x14ac:dyDescent="0.35">
      <c r="B250" s="10"/>
    </row>
    <row r="251" spans="2:2" ht="15.6" x14ac:dyDescent="0.35">
      <c r="B251" s="10"/>
    </row>
    <row r="252" spans="2:2" ht="15.6" x14ac:dyDescent="0.35">
      <c r="B252" s="10"/>
    </row>
    <row r="253" spans="2:2" ht="15.6" x14ac:dyDescent="0.35">
      <c r="B253" s="10"/>
    </row>
    <row r="254" spans="2:2" ht="15.6" x14ac:dyDescent="0.35">
      <c r="B254" s="10"/>
    </row>
    <row r="255" spans="2:2" ht="15.6" x14ac:dyDescent="0.35">
      <c r="B255" s="10"/>
    </row>
    <row r="256" spans="2:2" ht="15.6" x14ac:dyDescent="0.35">
      <c r="B256" s="10"/>
    </row>
    <row r="257" spans="2:2" ht="15.6" x14ac:dyDescent="0.35">
      <c r="B257" s="10"/>
    </row>
    <row r="258" spans="2:2" ht="15.6" x14ac:dyDescent="0.35">
      <c r="B258" s="10"/>
    </row>
    <row r="259" spans="2:2" ht="15.6" x14ac:dyDescent="0.35">
      <c r="B259" s="10"/>
    </row>
    <row r="260" spans="2:2" ht="15.6" x14ac:dyDescent="0.35">
      <c r="B260" s="10"/>
    </row>
    <row r="261" spans="2:2" ht="15.6" x14ac:dyDescent="0.35">
      <c r="B261" s="10"/>
    </row>
    <row r="262" spans="2:2" ht="15.6" x14ac:dyDescent="0.35">
      <c r="B262" s="10"/>
    </row>
    <row r="263" spans="2:2" ht="15.6" x14ac:dyDescent="0.35">
      <c r="B263" s="10"/>
    </row>
    <row r="264" spans="2:2" ht="15.6" x14ac:dyDescent="0.35">
      <c r="B264" s="10"/>
    </row>
    <row r="265" spans="2:2" ht="15.6" x14ac:dyDescent="0.35">
      <c r="B265" s="10"/>
    </row>
    <row r="266" spans="2:2" ht="15.6" x14ac:dyDescent="0.35">
      <c r="B266" s="10"/>
    </row>
    <row r="267" spans="2:2" ht="15.6" x14ac:dyDescent="0.35">
      <c r="B267" s="10"/>
    </row>
    <row r="268" spans="2:2" ht="15.6" x14ac:dyDescent="0.35">
      <c r="B268" s="10"/>
    </row>
    <row r="269" spans="2:2" ht="15.6" x14ac:dyDescent="0.35">
      <c r="B269" s="10"/>
    </row>
    <row r="270" spans="2:2" ht="15.6" x14ac:dyDescent="0.35">
      <c r="B270" s="10"/>
    </row>
    <row r="271" spans="2:2" ht="15.6" x14ac:dyDescent="0.35">
      <c r="B271" s="10"/>
    </row>
    <row r="272" spans="2:2" ht="15.6" x14ac:dyDescent="0.35">
      <c r="B272" s="10"/>
    </row>
    <row r="273" spans="2:2" ht="15.6" x14ac:dyDescent="0.35">
      <c r="B273" s="10"/>
    </row>
    <row r="274" spans="2:2" ht="15.6" x14ac:dyDescent="0.35">
      <c r="B274" s="10"/>
    </row>
    <row r="275" spans="2:2" ht="15.6" x14ac:dyDescent="0.35">
      <c r="B275" s="10"/>
    </row>
    <row r="276" spans="2:2" ht="15.6" x14ac:dyDescent="0.35">
      <c r="B276" s="10"/>
    </row>
    <row r="277" spans="2:2" ht="15.6" x14ac:dyDescent="0.35">
      <c r="B277" s="10"/>
    </row>
    <row r="278" spans="2:2" ht="15.6" x14ac:dyDescent="0.35">
      <c r="B278" s="10"/>
    </row>
    <row r="279" spans="2:2" ht="15.6" x14ac:dyDescent="0.35">
      <c r="B279" s="10"/>
    </row>
    <row r="280" spans="2:2" ht="15.6" x14ac:dyDescent="0.35">
      <c r="B280" s="10"/>
    </row>
    <row r="281" spans="2:2" ht="15.6" x14ac:dyDescent="0.35">
      <c r="B281" s="10"/>
    </row>
    <row r="282" spans="2:2" ht="15.6" x14ac:dyDescent="0.35">
      <c r="B282" s="10"/>
    </row>
    <row r="283" spans="2:2" ht="15.6" x14ac:dyDescent="0.35">
      <c r="B283" s="10"/>
    </row>
    <row r="284" spans="2:2" ht="15.6" x14ac:dyDescent="0.35">
      <c r="B284" s="10"/>
    </row>
    <row r="285" spans="2:2" ht="15.6" x14ac:dyDescent="0.35">
      <c r="B285" s="10"/>
    </row>
    <row r="286" spans="2:2" ht="15.6" x14ac:dyDescent="0.35">
      <c r="B286" s="10"/>
    </row>
    <row r="287" spans="2:2" ht="15.6" x14ac:dyDescent="0.35">
      <c r="B287" s="10"/>
    </row>
    <row r="288" spans="2:2" ht="15.6" x14ac:dyDescent="0.35">
      <c r="B288" s="10"/>
    </row>
    <row r="289" spans="2:2" ht="15.6" x14ac:dyDescent="0.35">
      <c r="B289" s="10"/>
    </row>
    <row r="290" spans="2:2" ht="15.6" x14ac:dyDescent="0.35">
      <c r="B290" s="10"/>
    </row>
    <row r="291" spans="2:2" ht="15.6" x14ac:dyDescent="0.35">
      <c r="B291" s="10"/>
    </row>
    <row r="292" spans="2:2" ht="15.6" x14ac:dyDescent="0.35">
      <c r="B292" s="10"/>
    </row>
    <row r="293" spans="2:2" ht="15.6" x14ac:dyDescent="0.35">
      <c r="B293" s="10"/>
    </row>
    <row r="294" spans="2:2" ht="15.6" x14ac:dyDescent="0.35">
      <c r="B294" s="10"/>
    </row>
    <row r="295" spans="2:2" ht="15.6" x14ac:dyDescent="0.35">
      <c r="B295" s="10"/>
    </row>
    <row r="296" spans="2:2" ht="15.6" x14ac:dyDescent="0.35">
      <c r="B296" s="10"/>
    </row>
    <row r="297" spans="2:2" ht="15.6" x14ac:dyDescent="0.35">
      <c r="B297" s="10"/>
    </row>
    <row r="298" spans="2:2" ht="15.6" x14ac:dyDescent="0.35">
      <c r="B298" s="10"/>
    </row>
    <row r="299" spans="2:2" ht="15.6" x14ac:dyDescent="0.35">
      <c r="B299" s="10"/>
    </row>
    <row r="300" spans="2:2" ht="15.6" x14ac:dyDescent="0.35">
      <c r="B300" s="10"/>
    </row>
    <row r="301" spans="2:2" ht="15.6" x14ac:dyDescent="0.35">
      <c r="B301" s="10"/>
    </row>
    <row r="302" spans="2:2" ht="15.6" x14ac:dyDescent="0.35">
      <c r="B302" s="10"/>
    </row>
    <row r="303" spans="2:2" ht="15.6" x14ac:dyDescent="0.35">
      <c r="B303" s="10"/>
    </row>
    <row r="304" spans="2:2" ht="15.6" x14ac:dyDescent="0.35">
      <c r="B304" s="10"/>
    </row>
    <row r="305" spans="2:2" ht="15.6" x14ac:dyDescent="0.35">
      <c r="B305" s="10"/>
    </row>
    <row r="306" spans="2:2" ht="15.6" x14ac:dyDescent="0.35">
      <c r="B306" s="10"/>
    </row>
    <row r="307" spans="2:2" ht="15.6" x14ac:dyDescent="0.35">
      <c r="B307" s="10"/>
    </row>
    <row r="308" spans="2:2" ht="15.6" x14ac:dyDescent="0.35">
      <c r="B308" s="10"/>
    </row>
    <row r="309" spans="2:2" ht="15.6" x14ac:dyDescent="0.35">
      <c r="B309" s="10"/>
    </row>
    <row r="310" spans="2:2" ht="15.6" x14ac:dyDescent="0.35">
      <c r="B310" s="10"/>
    </row>
    <row r="311" spans="2:2" ht="15.6" x14ac:dyDescent="0.35">
      <c r="B311" s="10"/>
    </row>
    <row r="312" spans="2:2" ht="15.6" x14ac:dyDescent="0.35">
      <c r="B312" s="10"/>
    </row>
    <row r="313" spans="2:2" ht="15.6" x14ac:dyDescent="0.35">
      <c r="B313" s="10"/>
    </row>
    <row r="314" spans="2:2" ht="15.6" x14ac:dyDescent="0.35">
      <c r="B314" s="10"/>
    </row>
    <row r="315" spans="2:2" ht="15.6" x14ac:dyDescent="0.35">
      <c r="B315" s="10"/>
    </row>
    <row r="316" spans="2:2" ht="15.6" x14ac:dyDescent="0.35">
      <c r="B316" s="10"/>
    </row>
    <row r="317" spans="2:2" ht="15.6" x14ac:dyDescent="0.35">
      <c r="B317" s="10"/>
    </row>
    <row r="318" spans="2:2" ht="15.6" x14ac:dyDescent="0.35">
      <c r="B318" s="10"/>
    </row>
    <row r="319" spans="2:2" ht="15.6" x14ac:dyDescent="0.35">
      <c r="B319" s="10"/>
    </row>
    <row r="320" spans="2:2" ht="15.6" x14ac:dyDescent="0.35">
      <c r="B320" s="10"/>
    </row>
    <row r="321" spans="2:2" ht="15.6" x14ac:dyDescent="0.35">
      <c r="B321" s="10"/>
    </row>
    <row r="322" spans="2:2" ht="15.6" x14ac:dyDescent="0.35">
      <c r="B322" s="10"/>
    </row>
    <row r="323" spans="2:2" ht="15.6" x14ac:dyDescent="0.35">
      <c r="B323" s="10"/>
    </row>
    <row r="324" spans="2:2" ht="15.6" x14ac:dyDescent="0.35">
      <c r="B324" s="10"/>
    </row>
    <row r="325" spans="2:2" ht="15.6" x14ac:dyDescent="0.35">
      <c r="B325" s="10"/>
    </row>
    <row r="326" spans="2:2" ht="15.6" x14ac:dyDescent="0.35">
      <c r="B326" s="10"/>
    </row>
    <row r="327" spans="2:2" ht="15.6" x14ac:dyDescent="0.35">
      <c r="B327" s="10"/>
    </row>
    <row r="328" spans="2:2" ht="15.6" x14ac:dyDescent="0.35">
      <c r="B328" s="10"/>
    </row>
    <row r="329" spans="2:2" ht="15.6" x14ac:dyDescent="0.35">
      <c r="B329" s="10"/>
    </row>
    <row r="330" spans="2:2" ht="15.6" x14ac:dyDescent="0.35">
      <c r="B330" s="10"/>
    </row>
    <row r="331" spans="2:2" ht="15.6" x14ac:dyDescent="0.35">
      <c r="B331" s="10"/>
    </row>
    <row r="332" spans="2:2" ht="15.6" x14ac:dyDescent="0.35">
      <c r="B332" s="10"/>
    </row>
    <row r="333" spans="2:2" ht="15.6" x14ac:dyDescent="0.35">
      <c r="B333" s="10"/>
    </row>
    <row r="334" spans="2:2" ht="15.6" x14ac:dyDescent="0.35">
      <c r="B334" s="10"/>
    </row>
    <row r="335" spans="2:2" ht="15.6" x14ac:dyDescent="0.35">
      <c r="B335" s="10"/>
    </row>
    <row r="336" spans="2:2" ht="15.6" x14ac:dyDescent="0.35">
      <c r="B336" s="10"/>
    </row>
    <row r="337" spans="2:2" ht="15.6" x14ac:dyDescent="0.35">
      <c r="B337" s="10"/>
    </row>
    <row r="338" spans="2:2" ht="15.6" x14ac:dyDescent="0.35">
      <c r="B338" s="10"/>
    </row>
    <row r="339" spans="2:2" ht="15.6" x14ac:dyDescent="0.35">
      <c r="B339" s="10"/>
    </row>
    <row r="340" spans="2:2" ht="15.6" x14ac:dyDescent="0.35">
      <c r="B340" s="10"/>
    </row>
    <row r="341" spans="2:2" ht="15.6" x14ac:dyDescent="0.35">
      <c r="B341" s="10"/>
    </row>
    <row r="342" spans="2:2" ht="15.6" x14ac:dyDescent="0.35">
      <c r="B342" s="10"/>
    </row>
    <row r="343" spans="2:2" ht="15.6" x14ac:dyDescent="0.35">
      <c r="B343" s="10"/>
    </row>
    <row r="344" spans="2:2" ht="15.6" x14ac:dyDescent="0.35">
      <c r="B344" s="10"/>
    </row>
    <row r="345" spans="2:2" ht="15.6" x14ac:dyDescent="0.35">
      <c r="B345" s="10"/>
    </row>
    <row r="346" spans="2:2" ht="15.6" x14ac:dyDescent="0.35">
      <c r="B346" s="10"/>
    </row>
    <row r="347" spans="2:2" ht="15.6" x14ac:dyDescent="0.35">
      <c r="B347" s="10"/>
    </row>
    <row r="348" spans="2:2" ht="15.6" x14ac:dyDescent="0.35">
      <c r="B348" s="10"/>
    </row>
    <row r="349" spans="2:2" ht="15.6" x14ac:dyDescent="0.35">
      <c r="B349" s="10"/>
    </row>
    <row r="350" spans="2:2" ht="15.6" x14ac:dyDescent="0.35">
      <c r="B350" s="10"/>
    </row>
    <row r="351" spans="2:2" ht="15.6" x14ac:dyDescent="0.35">
      <c r="B351" s="10"/>
    </row>
    <row r="352" spans="2:2" ht="15.6" x14ac:dyDescent="0.35">
      <c r="B352" s="10"/>
    </row>
    <row r="353" spans="2:2" ht="15.6" x14ac:dyDescent="0.35">
      <c r="B353" s="10"/>
    </row>
    <row r="354" spans="2:2" ht="15.6" x14ac:dyDescent="0.35">
      <c r="B354" s="10"/>
    </row>
    <row r="355" spans="2:2" ht="15.6" x14ac:dyDescent="0.35">
      <c r="B355" s="10"/>
    </row>
    <row r="356" spans="2:2" ht="15.6" x14ac:dyDescent="0.35">
      <c r="B356" s="10"/>
    </row>
    <row r="357" spans="2:2" ht="15.6" x14ac:dyDescent="0.35">
      <c r="B357" s="10"/>
    </row>
    <row r="358" spans="2:2" ht="15.6" x14ac:dyDescent="0.35">
      <c r="B358" s="10"/>
    </row>
    <row r="359" spans="2:2" ht="15.6" x14ac:dyDescent="0.35">
      <c r="B359" s="10"/>
    </row>
    <row r="360" spans="2:2" ht="15.6" x14ac:dyDescent="0.35">
      <c r="B360" s="10"/>
    </row>
    <row r="361" spans="2:2" ht="15.6" x14ac:dyDescent="0.35">
      <c r="B361" s="10"/>
    </row>
    <row r="362" spans="2:2" ht="15.6" x14ac:dyDescent="0.35">
      <c r="B362" s="10"/>
    </row>
    <row r="363" spans="2:2" ht="15.6" x14ac:dyDescent="0.35">
      <c r="B363" s="10"/>
    </row>
    <row r="364" spans="2:2" ht="15.6" x14ac:dyDescent="0.35">
      <c r="B364" s="10"/>
    </row>
    <row r="365" spans="2:2" ht="15.6" x14ac:dyDescent="0.35">
      <c r="B365" s="10"/>
    </row>
    <row r="366" spans="2:2" ht="15.6" x14ac:dyDescent="0.35">
      <c r="B366" s="10"/>
    </row>
    <row r="367" spans="2:2" ht="15.6" x14ac:dyDescent="0.35">
      <c r="B367" s="10"/>
    </row>
    <row r="368" spans="2:2" ht="15.6" x14ac:dyDescent="0.35">
      <c r="B368" s="10"/>
    </row>
    <row r="369" spans="2:2" ht="15.6" x14ac:dyDescent="0.35">
      <c r="B369" s="10"/>
    </row>
    <row r="370" spans="2:2" ht="15.6" x14ac:dyDescent="0.35">
      <c r="B370" s="10"/>
    </row>
    <row r="371" spans="2:2" ht="15.6" x14ac:dyDescent="0.35">
      <c r="B371" s="10"/>
    </row>
    <row r="372" spans="2:2" ht="15.6" x14ac:dyDescent="0.35">
      <c r="B372" s="10"/>
    </row>
    <row r="373" spans="2:2" ht="15.6" x14ac:dyDescent="0.35">
      <c r="B373" s="10"/>
    </row>
    <row r="374" spans="2:2" ht="15.6" x14ac:dyDescent="0.35">
      <c r="B374" s="10"/>
    </row>
    <row r="375" spans="2:2" ht="15.6" x14ac:dyDescent="0.35">
      <c r="B375" s="10"/>
    </row>
    <row r="376" spans="2:2" ht="15.6" x14ac:dyDescent="0.35">
      <c r="B376" s="10"/>
    </row>
    <row r="377" spans="2:2" ht="15.6" x14ac:dyDescent="0.35">
      <c r="B377" s="10"/>
    </row>
    <row r="378" spans="2:2" ht="15.6" x14ac:dyDescent="0.35">
      <c r="B378" s="10"/>
    </row>
    <row r="379" spans="2:2" ht="15.6" x14ac:dyDescent="0.35">
      <c r="B379" s="10"/>
    </row>
    <row r="380" spans="2:2" ht="15.6" x14ac:dyDescent="0.35">
      <c r="B380" s="10"/>
    </row>
    <row r="381" spans="2:2" ht="15.6" x14ac:dyDescent="0.35">
      <c r="B381" s="10"/>
    </row>
    <row r="382" spans="2:2" ht="15.6" x14ac:dyDescent="0.35">
      <c r="B382" s="10"/>
    </row>
    <row r="383" spans="2:2" ht="15.6" x14ac:dyDescent="0.35">
      <c r="B383" s="10"/>
    </row>
    <row r="384" spans="2:2" ht="15.6" x14ac:dyDescent="0.35">
      <c r="B384" s="10"/>
    </row>
    <row r="385" spans="2:2" ht="15.6" x14ac:dyDescent="0.35">
      <c r="B385" s="10"/>
    </row>
    <row r="386" spans="2:2" ht="15.6" x14ac:dyDescent="0.35">
      <c r="B386" s="10"/>
    </row>
    <row r="387" spans="2:2" ht="15.6" x14ac:dyDescent="0.35">
      <c r="B387" s="10"/>
    </row>
    <row r="388" spans="2:2" ht="15.6" x14ac:dyDescent="0.35">
      <c r="B388" s="10"/>
    </row>
    <row r="389" spans="2:2" ht="15.6" x14ac:dyDescent="0.35">
      <c r="B389" s="10"/>
    </row>
    <row r="390" spans="2:2" ht="15.6" x14ac:dyDescent="0.35">
      <c r="B390" s="10"/>
    </row>
    <row r="391" spans="2:2" ht="15.6" x14ac:dyDescent="0.35">
      <c r="B391" s="10"/>
    </row>
    <row r="392" spans="2:2" ht="15.6" x14ac:dyDescent="0.35">
      <c r="B392" s="10"/>
    </row>
    <row r="393" spans="2:2" ht="15.6" x14ac:dyDescent="0.35">
      <c r="B393" s="10"/>
    </row>
    <row r="394" spans="2:2" ht="15.6" x14ac:dyDescent="0.35">
      <c r="B394" s="10"/>
    </row>
    <row r="395" spans="2:2" ht="15.6" x14ac:dyDescent="0.35">
      <c r="B395" s="10"/>
    </row>
    <row r="396" spans="2:2" ht="15.6" x14ac:dyDescent="0.35">
      <c r="B396" s="10"/>
    </row>
    <row r="397" spans="2:2" ht="15.6" x14ac:dyDescent="0.35">
      <c r="B397" s="10"/>
    </row>
    <row r="398" spans="2:2" ht="15.6" x14ac:dyDescent="0.35">
      <c r="B398" s="10"/>
    </row>
    <row r="399" spans="2:2" ht="15.6" x14ac:dyDescent="0.35">
      <c r="B399" s="10"/>
    </row>
    <row r="400" spans="2:2" ht="15.6" x14ac:dyDescent="0.35">
      <c r="B400" s="10"/>
    </row>
    <row r="401" spans="2:2" ht="15.6" x14ac:dyDescent="0.35">
      <c r="B401" s="10"/>
    </row>
    <row r="402" spans="2:2" ht="15.6" x14ac:dyDescent="0.35">
      <c r="B402" s="10"/>
    </row>
    <row r="403" spans="2:2" ht="15.6" x14ac:dyDescent="0.35">
      <c r="B403" s="10"/>
    </row>
    <row r="404" spans="2:2" ht="15.6" x14ac:dyDescent="0.35">
      <c r="B404" s="10"/>
    </row>
    <row r="405" spans="2:2" ht="15.6" x14ac:dyDescent="0.35">
      <c r="B405" s="10"/>
    </row>
    <row r="406" spans="2:2" ht="15.6" x14ac:dyDescent="0.35">
      <c r="B406" s="10"/>
    </row>
    <row r="407" spans="2:2" ht="15.6" x14ac:dyDescent="0.35">
      <c r="B407" s="10"/>
    </row>
    <row r="408" spans="2:2" ht="15.6" x14ac:dyDescent="0.35">
      <c r="B408" s="10"/>
    </row>
    <row r="409" spans="2:2" ht="15.6" x14ac:dyDescent="0.35">
      <c r="B409" s="10"/>
    </row>
    <row r="410" spans="2:2" ht="15.6" x14ac:dyDescent="0.35">
      <c r="B410" s="10"/>
    </row>
    <row r="411" spans="2:2" ht="15.6" x14ac:dyDescent="0.35">
      <c r="B411" s="10"/>
    </row>
    <row r="412" spans="2:2" ht="15.6" x14ac:dyDescent="0.35">
      <c r="B412" s="10"/>
    </row>
    <row r="413" spans="2:2" ht="15.6" x14ac:dyDescent="0.35">
      <c r="B413" s="10"/>
    </row>
    <row r="414" spans="2:2" ht="15.6" x14ac:dyDescent="0.35">
      <c r="B414" s="10"/>
    </row>
    <row r="415" spans="2:2" ht="15.6" x14ac:dyDescent="0.35">
      <c r="B415" s="10"/>
    </row>
    <row r="416" spans="2:2" ht="15.6" x14ac:dyDescent="0.35">
      <c r="B416" s="10"/>
    </row>
    <row r="417" spans="2:2" ht="15.6" x14ac:dyDescent="0.35">
      <c r="B417" s="10"/>
    </row>
    <row r="418" spans="2:2" ht="15.6" x14ac:dyDescent="0.35">
      <c r="B418" s="10"/>
    </row>
    <row r="419" spans="2:2" ht="15.6" x14ac:dyDescent="0.35">
      <c r="B419" s="10"/>
    </row>
    <row r="420" spans="2:2" ht="15.6" x14ac:dyDescent="0.35">
      <c r="B420" s="10"/>
    </row>
    <row r="421" spans="2:2" ht="15.6" x14ac:dyDescent="0.35">
      <c r="B421" s="10"/>
    </row>
    <row r="422" spans="2:2" ht="15.6" x14ac:dyDescent="0.35">
      <c r="B422" s="10"/>
    </row>
    <row r="423" spans="2:2" ht="15.6" x14ac:dyDescent="0.35">
      <c r="B423" s="10"/>
    </row>
    <row r="424" spans="2:2" ht="15.6" x14ac:dyDescent="0.35">
      <c r="B424" s="10"/>
    </row>
    <row r="425" spans="2:2" ht="15.6" x14ac:dyDescent="0.35">
      <c r="B425" s="10"/>
    </row>
    <row r="426" spans="2:2" ht="15.6" x14ac:dyDescent="0.35">
      <c r="B426" s="10"/>
    </row>
    <row r="427" spans="2:2" ht="15.6" x14ac:dyDescent="0.35">
      <c r="B427" s="10"/>
    </row>
    <row r="428" spans="2:2" ht="15.6" x14ac:dyDescent="0.35">
      <c r="B428" s="10"/>
    </row>
    <row r="429" spans="2:2" ht="15.6" x14ac:dyDescent="0.35">
      <c r="B429" s="10"/>
    </row>
    <row r="430" spans="2:2" ht="15.6" x14ac:dyDescent="0.35">
      <c r="B430" s="10"/>
    </row>
    <row r="431" spans="2:2" ht="15.6" x14ac:dyDescent="0.35">
      <c r="B431" s="10"/>
    </row>
    <row r="432" spans="2:2" ht="15.6" x14ac:dyDescent="0.35">
      <c r="B432" s="10"/>
    </row>
    <row r="433" spans="2:2" ht="15.6" x14ac:dyDescent="0.35">
      <c r="B433" s="10"/>
    </row>
    <row r="434" spans="2:2" ht="15.6" x14ac:dyDescent="0.35">
      <c r="B434" s="10"/>
    </row>
    <row r="435" spans="2:2" ht="15.6" x14ac:dyDescent="0.35">
      <c r="B435" s="10"/>
    </row>
    <row r="436" spans="2:2" ht="15.6" x14ac:dyDescent="0.35">
      <c r="B436" s="10"/>
    </row>
    <row r="437" spans="2:2" ht="15.6" x14ac:dyDescent="0.35">
      <c r="B437" s="10"/>
    </row>
    <row r="438" spans="2:2" ht="15.6" x14ac:dyDescent="0.35">
      <c r="B438" s="10"/>
    </row>
    <row r="439" spans="2:2" ht="15.6" x14ac:dyDescent="0.35">
      <c r="B439" s="10"/>
    </row>
    <row r="440" spans="2:2" ht="15.6" x14ac:dyDescent="0.35">
      <c r="B440" s="10"/>
    </row>
    <row r="441" spans="2:2" ht="15.6" x14ac:dyDescent="0.35">
      <c r="B441" s="10"/>
    </row>
    <row r="442" spans="2:2" ht="15.6" x14ac:dyDescent="0.35">
      <c r="B442" s="10"/>
    </row>
    <row r="443" spans="2:2" ht="15.6" x14ac:dyDescent="0.35">
      <c r="B443" s="10"/>
    </row>
    <row r="444" spans="2:2" ht="15.6" x14ac:dyDescent="0.35">
      <c r="B444" s="10"/>
    </row>
    <row r="445" spans="2:2" ht="15.6" x14ac:dyDescent="0.35">
      <c r="B445" s="10"/>
    </row>
    <row r="446" spans="2:2" ht="15.6" x14ac:dyDescent="0.35">
      <c r="B446" s="10"/>
    </row>
    <row r="447" spans="2:2" ht="15.6" x14ac:dyDescent="0.35">
      <c r="B447" s="10"/>
    </row>
    <row r="448" spans="2:2" ht="15.6" x14ac:dyDescent="0.35">
      <c r="B448" s="10"/>
    </row>
    <row r="449" spans="2:2" ht="15.6" x14ac:dyDescent="0.35">
      <c r="B449" s="10"/>
    </row>
    <row r="450" spans="2:2" ht="15.6" x14ac:dyDescent="0.35">
      <c r="B450" s="10"/>
    </row>
    <row r="451" spans="2:2" ht="15.6" x14ac:dyDescent="0.35">
      <c r="B451" s="10"/>
    </row>
    <row r="452" spans="2:2" ht="15.6" x14ac:dyDescent="0.35">
      <c r="B452" s="10"/>
    </row>
    <row r="453" spans="2:2" ht="15.6" x14ac:dyDescent="0.35">
      <c r="B453" s="10"/>
    </row>
    <row r="454" spans="2:2" ht="15.6" x14ac:dyDescent="0.35">
      <c r="B454" s="10"/>
    </row>
    <row r="455" spans="2:2" ht="15.6" x14ac:dyDescent="0.35">
      <c r="B455" s="10"/>
    </row>
    <row r="456" spans="2:2" ht="15.6" x14ac:dyDescent="0.35">
      <c r="B456" s="10"/>
    </row>
    <row r="457" spans="2:2" ht="15.6" x14ac:dyDescent="0.35">
      <c r="B457" s="10"/>
    </row>
    <row r="458" spans="2:2" ht="15.6" x14ac:dyDescent="0.35">
      <c r="B458" s="10"/>
    </row>
    <row r="459" spans="2:2" ht="15.6" x14ac:dyDescent="0.35">
      <c r="B459" s="10"/>
    </row>
    <row r="460" spans="2:2" ht="15.6" x14ac:dyDescent="0.35">
      <c r="B460" s="10"/>
    </row>
    <row r="461" spans="2:2" ht="15.6" x14ac:dyDescent="0.35">
      <c r="B461" s="10"/>
    </row>
    <row r="462" spans="2:2" ht="15.6" x14ac:dyDescent="0.35">
      <c r="B462" s="10"/>
    </row>
  </sheetData>
  <mergeCells count="1">
    <mergeCell ref="A1:B1"/>
  </mergeCells>
  <phoneticPr fontId="3" type="noConversion"/>
  <pageMargins left="0.9055118110236221" right="0" top="0.98425196850393704" bottom="0.98425196850393704" header="0.47244094488188981" footer="0.51181102362204722"/>
  <pageSetup paperSize="9" scale="70" orientation="portrait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6">
    <pageSetUpPr fitToPage="1"/>
  </sheetPr>
  <dimension ref="A1:J19"/>
  <sheetViews>
    <sheetView workbookViewId="0">
      <selection sqref="A1:J14"/>
    </sheetView>
  </sheetViews>
  <sheetFormatPr defaultRowHeight="12.6" x14ac:dyDescent="0.25"/>
  <cols>
    <col min="3" max="3" width="13.5546875" customWidth="1"/>
    <col min="4" max="4" width="15.44140625" customWidth="1"/>
    <col min="5" max="5" width="4.6640625" customWidth="1"/>
    <col min="9" max="9" width="2.5546875" customWidth="1"/>
    <col min="10" max="10" width="14.5546875" customWidth="1"/>
  </cols>
  <sheetData>
    <row r="1" spans="1:10" ht="30.75" customHeight="1" thickBot="1" x14ac:dyDescent="0.3">
      <c r="A1" s="2560" t="s">
        <v>146</v>
      </c>
      <c r="B1" s="2561"/>
      <c r="C1" s="2561"/>
      <c r="D1" s="2561"/>
      <c r="E1" s="2561"/>
      <c r="F1" s="2561"/>
      <c r="G1" s="2561"/>
      <c r="H1" s="2561"/>
      <c r="I1" s="2561"/>
      <c r="J1" s="2562"/>
    </row>
    <row r="2" spans="1:10" ht="0.75" customHeight="1" x14ac:dyDescent="0.25">
      <c r="A2" s="173"/>
      <c r="B2" s="179"/>
      <c r="C2" s="83"/>
      <c r="D2" s="83"/>
      <c r="E2" s="83"/>
      <c r="F2" s="83"/>
      <c r="G2" s="83"/>
      <c r="H2" s="83"/>
      <c r="I2" s="83"/>
      <c r="J2" s="174"/>
    </row>
    <row r="3" spans="1:10" ht="1.5" customHeight="1" x14ac:dyDescent="0.25">
      <c r="A3" s="173"/>
      <c r="B3" s="83"/>
      <c r="C3" s="83"/>
      <c r="D3" s="83"/>
      <c r="E3" s="83"/>
      <c r="F3" s="83"/>
      <c r="G3" s="83"/>
      <c r="H3" s="83"/>
      <c r="I3" s="83"/>
      <c r="J3" s="174"/>
    </row>
    <row r="4" spans="1:10" ht="1.5" customHeight="1" x14ac:dyDescent="0.25">
      <c r="A4" s="173"/>
      <c r="B4" s="83"/>
      <c r="C4" s="83"/>
      <c r="D4" s="83"/>
      <c r="E4" s="83"/>
      <c r="F4" s="83"/>
      <c r="G4" s="83"/>
      <c r="H4" s="83"/>
      <c r="I4" s="83"/>
      <c r="J4" s="174"/>
    </row>
    <row r="5" spans="1:10" ht="1.5" customHeight="1" x14ac:dyDescent="0.25">
      <c r="A5" s="173"/>
      <c r="B5" s="83"/>
      <c r="C5" s="83"/>
      <c r="D5" s="83"/>
      <c r="E5" s="83"/>
      <c r="F5" s="83"/>
      <c r="G5" s="83"/>
      <c r="H5" s="83"/>
      <c r="I5" s="83"/>
      <c r="J5" s="174"/>
    </row>
    <row r="6" spans="1:10" ht="1.5" customHeight="1" x14ac:dyDescent="0.25">
      <c r="A6" s="173"/>
      <c r="B6" s="83"/>
      <c r="C6" s="83"/>
      <c r="D6" s="83"/>
      <c r="E6" s="83"/>
      <c r="F6" s="83"/>
      <c r="G6" s="83"/>
      <c r="H6" s="83"/>
      <c r="I6" s="83"/>
      <c r="J6" s="174"/>
    </row>
    <row r="7" spans="1:10" x14ac:dyDescent="0.25">
      <c r="A7" s="173"/>
      <c r="B7" s="83"/>
      <c r="C7" s="83"/>
      <c r="D7" s="83"/>
      <c r="E7" s="83"/>
      <c r="F7" s="83"/>
      <c r="G7" s="83"/>
      <c r="H7" s="83"/>
      <c r="I7" s="83"/>
      <c r="J7" s="174"/>
    </row>
    <row r="8" spans="1:10" ht="13.2" thickBot="1" x14ac:dyDescent="0.3">
      <c r="A8" s="259"/>
      <c r="B8" s="83"/>
      <c r="C8" s="83"/>
      <c r="D8" s="83"/>
      <c r="E8" s="83"/>
      <c r="F8" s="83"/>
      <c r="G8" s="83"/>
      <c r="H8" s="83"/>
      <c r="I8" s="83"/>
      <c r="J8" s="178"/>
    </row>
    <row r="9" spans="1:10" ht="23.25" customHeight="1" x14ac:dyDescent="0.25">
      <c r="A9" s="2563"/>
      <c r="B9" s="2564"/>
      <c r="C9" s="2564"/>
      <c r="D9" s="2564"/>
      <c r="E9" s="2564"/>
      <c r="F9" s="2564"/>
      <c r="G9" s="2564"/>
      <c r="H9" s="2564"/>
      <c r="I9" s="2564"/>
      <c r="J9" s="2565"/>
    </row>
    <row r="10" spans="1:10" x14ac:dyDescent="0.25">
      <c r="A10" s="173"/>
      <c r="B10" s="83"/>
      <c r="C10" s="83"/>
      <c r="D10" s="83"/>
      <c r="E10" s="83"/>
      <c r="F10" s="83"/>
      <c r="G10" s="83"/>
      <c r="H10" s="83"/>
      <c r="I10" s="83"/>
      <c r="J10" s="174"/>
    </row>
    <row r="11" spans="1:10" x14ac:dyDescent="0.25">
      <c r="A11" s="175"/>
      <c r="B11" s="85" t="s">
        <v>75</v>
      </c>
      <c r="C11" s="84"/>
      <c r="D11" s="84"/>
      <c r="E11" s="83"/>
      <c r="F11" s="86"/>
      <c r="G11" s="85" t="s">
        <v>76</v>
      </c>
      <c r="H11" s="86"/>
      <c r="I11" s="86"/>
      <c r="J11" s="176"/>
    </row>
    <row r="12" spans="1:10" x14ac:dyDescent="0.25">
      <c r="A12" s="2555" t="s">
        <v>77</v>
      </c>
      <c r="B12" s="2556"/>
      <c r="C12" s="2556"/>
      <c r="D12" s="225">
        <f>98885299*0.53</f>
        <v>52409208.470000006</v>
      </c>
      <c r="E12" s="83"/>
      <c r="F12" s="2557" t="s">
        <v>147</v>
      </c>
      <c r="G12" s="2556"/>
      <c r="H12" s="2556"/>
      <c r="I12" s="2556"/>
      <c r="J12" s="227">
        <f>127012863/1.27</f>
        <v>100010128.34645669</v>
      </c>
    </row>
    <row r="13" spans="1:10" x14ac:dyDescent="0.25">
      <c r="A13" s="2459" t="s">
        <v>634</v>
      </c>
      <c r="B13" s="2460"/>
      <c r="C13" s="2460"/>
      <c r="D13" s="2461">
        <f>98885299*0.47</f>
        <v>46476090.529999994</v>
      </c>
      <c r="E13" s="83"/>
      <c r="F13" s="2462"/>
      <c r="G13" s="2466"/>
      <c r="H13" s="2464"/>
      <c r="I13" s="2465"/>
      <c r="J13" s="227"/>
    </row>
    <row r="14" spans="1:10" ht="13.2" thickBot="1" x14ac:dyDescent="0.3">
      <c r="A14" s="2558" t="s">
        <v>78</v>
      </c>
      <c r="B14" s="2559"/>
      <c r="C14" s="2559"/>
      <c r="D14" s="226">
        <f>J12+J14-D12-D13</f>
        <v>28127564.000000007</v>
      </c>
      <c r="E14" s="177"/>
      <c r="F14" s="258" t="s">
        <v>166</v>
      </c>
      <c r="G14" s="2467"/>
      <c r="H14" s="177"/>
      <c r="I14" s="2463"/>
      <c r="J14" s="178">
        <f>J12*0.27</f>
        <v>27002734.653543308</v>
      </c>
    </row>
    <row r="15" spans="1:10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</row>
    <row r="16" spans="1:10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</row>
    <row r="17" spans="1:10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</row>
    <row r="18" spans="1:10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</row>
    <row r="19" spans="1:10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</row>
  </sheetData>
  <mergeCells count="5">
    <mergeCell ref="A12:C12"/>
    <mergeCell ref="F12:I12"/>
    <mergeCell ref="A14:C14"/>
    <mergeCell ref="A1:J1"/>
    <mergeCell ref="A9:J9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91" orientation="portrait" r:id="rId1"/>
  <headerFooter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49"/>
  <sheetViews>
    <sheetView topLeftCell="A190" workbookViewId="0">
      <selection activeCell="A164" sqref="A164:N238"/>
    </sheetView>
  </sheetViews>
  <sheetFormatPr defaultRowHeight="12.6" x14ac:dyDescent="0.25"/>
  <cols>
    <col min="1" max="1" width="7.109375" customWidth="1"/>
    <col min="2" max="2" width="16.44140625" customWidth="1"/>
    <col min="3" max="3" width="10.6640625" style="136" customWidth="1"/>
    <col min="4" max="4" width="11.33203125" style="136" customWidth="1"/>
    <col min="5" max="5" width="11.44140625" style="136" customWidth="1"/>
    <col min="6" max="6" width="10.5546875" style="136" customWidth="1"/>
    <col min="7" max="7" width="11.44140625" style="136" customWidth="1"/>
    <col min="8" max="8" width="11.6640625" style="136" customWidth="1"/>
    <col min="9" max="9" width="12.5546875" style="136" bestFit="1" customWidth="1"/>
    <col min="10" max="10" width="11.6640625" style="136" customWidth="1"/>
    <col min="11" max="11" width="11.33203125" style="136" customWidth="1"/>
    <col min="12" max="12" width="12.88671875" style="136" customWidth="1"/>
    <col min="13" max="13" width="15.33203125" style="136" bestFit="1" customWidth="1"/>
    <col min="14" max="14" width="13.44140625" style="136" customWidth="1"/>
    <col min="15" max="16" width="0.5546875" style="136" customWidth="1"/>
    <col min="17" max="17" width="15.33203125" style="136" bestFit="1" customWidth="1"/>
    <col min="18" max="18" width="11.6640625" style="136" customWidth="1"/>
    <col min="19" max="20" width="9.109375" style="136"/>
  </cols>
  <sheetData>
    <row r="1" spans="1:20" ht="39" customHeight="1" thickBot="1" x14ac:dyDescent="0.4">
      <c r="A1" s="2553" t="s">
        <v>560</v>
      </c>
      <c r="B1" s="2584"/>
      <c r="C1" s="2584"/>
      <c r="D1" s="2584"/>
      <c r="E1" s="2584"/>
      <c r="F1" s="2584"/>
      <c r="G1" s="2584"/>
      <c r="H1" s="2584"/>
      <c r="I1" s="2584"/>
      <c r="J1" s="2584"/>
      <c r="K1" s="2584"/>
      <c r="L1" s="2585"/>
      <c r="M1" s="2475"/>
      <c r="N1" s="2475"/>
      <c r="O1" s="2450"/>
      <c r="P1" s="2450"/>
    </row>
    <row r="2" spans="1:20" ht="13.5" customHeight="1" x14ac:dyDescent="0.35">
      <c r="A2" s="8"/>
      <c r="B2" s="8"/>
      <c r="C2" s="272"/>
      <c r="D2" s="268"/>
      <c r="E2" s="268"/>
      <c r="F2" s="268"/>
      <c r="G2" s="268"/>
      <c r="H2" s="268"/>
      <c r="I2" s="268"/>
      <c r="J2" s="268"/>
      <c r="K2" s="575"/>
      <c r="L2" s="2478"/>
      <c r="M2" s="2476"/>
      <c r="N2" s="2477"/>
      <c r="O2" s="266"/>
      <c r="P2" s="266"/>
    </row>
    <row r="3" spans="1:20" ht="57.75" customHeight="1" x14ac:dyDescent="0.25">
      <c r="A3" s="322" t="s">
        <v>215</v>
      </c>
      <c r="B3" s="309" t="s">
        <v>216</v>
      </c>
      <c r="C3" s="147" t="s">
        <v>217</v>
      </c>
      <c r="D3" s="147" t="s">
        <v>218</v>
      </c>
      <c r="E3" s="147" t="s">
        <v>131</v>
      </c>
      <c r="F3" s="147" t="s">
        <v>220</v>
      </c>
      <c r="G3" s="147" t="s">
        <v>221</v>
      </c>
      <c r="H3" s="147" t="s">
        <v>132</v>
      </c>
      <c r="I3" s="147" t="s">
        <v>219</v>
      </c>
      <c r="J3" s="147" t="s">
        <v>389</v>
      </c>
      <c r="K3" s="576" t="s">
        <v>133</v>
      </c>
      <c r="L3" s="577" t="s">
        <v>53</v>
      </c>
      <c r="M3"/>
      <c r="N3"/>
      <c r="O3"/>
      <c r="P3"/>
      <c r="Q3"/>
      <c r="R3"/>
      <c r="S3"/>
      <c r="T3"/>
    </row>
    <row r="4" spans="1:20" ht="24.75" customHeight="1" thickBot="1" x14ac:dyDescent="0.3">
      <c r="A4" s="2572" t="s">
        <v>176</v>
      </c>
      <c r="B4" s="2573"/>
      <c r="C4" s="695"/>
      <c r="D4" s="695"/>
      <c r="E4" s="695"/>
      <c r="F4" s="695"/>
      <c r="G4" s="695"/>
      <c r="H4" s="695"/>
      <c r="I4" s="695"/>
      <c r="J4" s="695"/>
      <c r="K4" s="696"/>
      <c r="L4" s="698"/>
      <c r="M4"/>
      <c r="N4"/>
      <c r="O4"/>
      <c r="P4"/>
      <c r="Q4"/>
      <c r="R4"/>
      <c r="S4"/>
      <c r="T4"/>
    </row>
    <row r="5" spans="1:20" ht="18" x14ac:dyDescent="0.25">
      <c r="A5" s="505" t="s">
        <v>230</v>
      </c>
      <c r="B5" s="506" t="s">
        <v>385</v>
      </c>
      <c r="C5" s="1288"/>
      <c r="D5" s="1288"/>
      <c r="E5" s="1288"/>
      <c r="F5" s="1288"/>
      <c r="G5" s="1288"/>
      <c r="H5" s="1288"/>
      <c r="I5" s="1288"/>
      <c r="J5" s="1288"/>
      <c r="K5" s="2114"/>
      <c r="L5" s="2115"/>
      <c r="M5"/>
      <c r="N5"/>
      <c r="O5"/>
      <c r="P5"/>
      <c r="Q5"/>
      <c r="R5"/>
      <c r="S5"/>
      <c r="T5"/>
    </row>
    <row r="6" spans="1:20" ht="15" customHeight="1" thickBot="1" x14ac:dyDescent="0.3">
      <c r="A6" s="748"/>
      <c r="B6" s="381" t="s">
        <v>356</v>
      </c>
      <c r="C6" s="1315">
        <f>SUM('5.a.sz. melléklet'!C7)</f>
        <v>4895000</v>
      </c>
      <c r="D6" s="1315"/>
      <c r="E6" s="1315"/>
      <c r="F6" s="1315"/>
      <c r="G6" s="1315">
        <f>SUM('5.a.sz. melléklet'!G7)</f>
        <v>41546575</v>
      </c>
      <c r="H6" s="1315"/>
      <c r="I6" s="1315"/>
      <c r="J6" s="1315"/>
      <c r="K6" s="2116"/>
      <c r="L6" s="2117">
        <f>SUM(C6:K6)</f>
        <v>46441575</v>
      </c>
      <c r="M6"/>
      <c r="N6"/>
      <c r="O6"/>
      <c r="P6"/>
      <c r="Q6"/>
      <c r="R6"/>
      <c r="S6"/>
      <c r="T6"/>
    </row>
    <row r="7" spans="1:20" ht="0.15" customHeight="1" thickBot="1" x14ac:dyDescent="0.3">
      <c r="A7" s="1177"/>
      <c r="B7" s="1176" t="s">
        <v>357</v>
      </c>
      <c r="C7" s="1281">
        <f>SUM('5.a.sz. melléklet'!C8)</f>
        <v>4895000</v>
      </c>
      <c r="D7" s="1281"/>
      <c r="E7" s="1281"/>
      <c r="F7" s="1281"/>
      <c r="G7" s="1281"/>
      <c r="H7" s="1281"/>
      <c r="I7" s="1281"/>
      <c r="J7" s="1281"/>
      <c r="K7" s="2118"/>
      <c r="L7" s="2119">
        <f>SUM(C7:K7)</f>
        <v>4895000</v>
      </c>
      <c r="M7"/>
      <c r="N7"/>
      <c r="O7"/>
      <c r="P7"/>
      <c r="Q7"/>
      <c r="R7"/>
      <c r="S7"/>
      <c r="T7"/>
    </row>
    <row r="8" spans="1:20" s="778" customFormat="1" ht="0.15" customHeight="1" x14ac:dyDescent="0.25">
      <c r="A8" s="832"/>
      <c r="B8" s="794" t="s">
        <v>355</v>
      </c>
      <c r="C8" s="2120"/>
      <c r="D8" s="2120"/>
      <c r="E8" s="2120"/>
      <c r="F8" s="2120"/>
      <c r="G8" s="2120"/>
      <c r="H8" s="2120"/>
      <c r="I8" s="2120"/>
      <c r="J8" s="2120"/>
      <c r="K8" s="1921"/>
      <c r="L8" s="2121">
        <f>SUM(C8:K8)</f>
        <v>0</v>
      </c>
    </row>
    <row r="9" spans="1:20" ht="18" x14ac:dyDescent="0.25">
      <c r="A9" s="399" t="s">
        <v>241</v>
      </c>
      <c r="B9" s="400" t="s">
        <v>283</v>
      </c>
      <c r="C9" s="1292"/>
      <c r="D9" s="1292"/>
      <c r="E9" s="1292"/>
      <c r="F9" s="1292"/>
      <c r="G9" s="1292"/>
      <c r="H9" s="1292"/>
      <c r="I9" s="1292"/>
      <c r="J9" s="1292"/>
      <c r="K9" s="2122"/>
      <c r="L9" s="2123"/>
      <c r="M9"/>
      <c r="N9"/>
      <c r="O9"/>
      <c r="P9"/>
      <c r="Q9"/>
      <c r="R9"/>
      <c r="S9"/>
      <c r="T9"/>
    </row>
    <row r="10" spans="1:20" ht="15" customHeight="1" thickBot="1" x14ac:dyDescent="0.3">
      <c r="A10" s="748"/>
      <c r="B10" s="381" t="s">
        <v>356</v>
      </c>
      <c r="C10" s="1315">
        <f>SUM('5.a.sz. melléklet'!C11)</f>
        <v>52068000</v>
      </c>
      <c r="D10" s="1315"/>
      <c r="E10" s="1315">
        <f>SUM('5.a.sz. melléklet'!E11)</f>
        <v>0</v>
      </c>
      <c r="F10" s="1315">
        <f>SUM('5.a.sz. melléklet'!F11)</f>
        <v>0</v>
      </c>
      <c r="G10" s="1315">
        <f>SUM('5.a.sz. melléklet'!G11)</f>
        <v>695419999</v>
      </c>
      <c r="H10" s="1315">
        <f>SUM('5.a.sz. melléklet'!H11)</f>
        <v>0</v>
      </c>
      <c r="I10" s="1315">
        <f>SUM('5.a.sz. melléklet'!I11)</f>
        <v>217933000</v>
      </c>
      <c r="J10" s="1315"/>
      <c r="K10" s="2116"/>
      <c r="L10" s="2117">
        <f>SUM(C10:K10)</f>
        <v>965420999</v>
      </c>
      <c r="M10"/>
      <c r="N10"/>
      <c r="O10"/>
      <c r="P10"/>
      <c r="Q10"/>
      <c r="R10"/>
      <c r="S10"/>
      <c r="T10"/>
    </row>
    <row r="11" spans="1:20" ht="0.15" customHeight="1" thickBot="1" x14ac:dyDescent="0.3">
      <c r="A11" s="1177"/>
      <c r="B11" s="1176" t="s">
        <v>357</v>
      </c>
      <c r="C11" s="1281">
        <f>SUM('5.a.sz. melléklet'!C12)</f>
        <v>17313</v>
      </c>
      <c r="D11" s="1281"/>
      <c r="E11" s="1281">
        <f>SUM('5.a.sz. melléklet'!E12)</f>
        <v>0</v>
      </c>
      <c r="F11" s="1281">
        <f>SUM('5.a.sz. melléklet'!F12)</f>
        <v>1100</v>
      </c>
      <c r="G11" s="1281">
        <f>SUM('5.a.sz. melléklet'!G12)</f>
        <v>240017</v>
      </c>
      <c r="H11" s="1281">
        <f>SUM('5.a.sz. melléklet'!H12)</f>
        <v>0</v>
      </c>
      <c r="I11" s="1281">
        <f>SUM('5.a.sz. melléklet'!I12)</f>
        <v>30565</v>
      </c>
      <c r="J11" s="1281"/>
      <c r="K11" s="2118">
        <f>SUM('5.a.sz. melléklet'!K12)</f>
        <v>0</v>
      </c>
      <c r="L11" s="2119">
        <f>SUM(C11:K11)</f>
        <v>288995</v>
      </c>
      <c r="M11"/>
      <c r="N11"/>
      <c r="O11"/>
      <c r="P11"/>
      <c r="Q11"/>
      <c r="R11"/>
      <c r="S11"/>
      <c r="T11"/>
    </row>
    <row r="12" spans="1:20" s="778" customFormat="1" ht="0.15" customHeight="1" x14ac:dyDescent="0.25">
      <c r="A12" s="832"/>
      <c r="B12" s="794" t="s">
        <v>355</v>
      </c>
      <c r="C12" s="2120"/>
      <c r="D12" s="2120"/>
      <c r="E12" s="2120"/>
      <c r="F12" s="2120"/>
      <c r="G12" s="2120"/>
      <c r="H12" s="2120"/>
      <c r="I12" s="2120"/>
      <c r="J12" s="2120"/>
      <c r="K12" s="1921"/>
      <c r="L12" s="2124">
        <f>SUM(C12:K12)</f>
        <v>0</v>
      </c>
    </row>
    <row r="13" spans="1:20" ht="26.4" x14ac:dyDescent="0.25">
      <c r="A13" s="399" t="s">
        <v>294</v>
      </c>
      <c r="B13" s="400" t="s">
        <v>464</v>
      </c>
      <c r="C13" s="1292"/>
      <c r="D13" s="1292"/>
      <c r="E13" s="1292"/>
      <c r="F13" s="1292"/>
      <c r="G13" s="1292"/>
      <c r="H13" s="1292"/>
      <c r="I13" s="1292"/>
      <c r="J13" s="1292"/>
      <c r="K13" s="2122"/>
      <c r="L13" s="2125"/>
      <c r="M13"/>
      <c r="N13"/>
      <c r="O13"/>
      <c r="P13"/>
      <c r="Q13"/>
      <c r="R13"/>
      <c r="S13"/>
      <c r="T13"/>
    </row>
    <row r="14" spans="1:20" ht="15" customHeight="1" thickBot="1" x14ac:dyDescent="0.3">
      <c r="A14" s="748"/>
      <c r="B14" s="381" t="s">
        <v>356</v>
      </c>
      <c r="C14" s="1315"/>
      <c r="D14" s="1315"/>
      <c r="E14" s="1315">
        <f>SUM('5.a.sz. melléklet'!E15)</f>
        <v>129565489</v>
      </c>
      <c r="F14" s="1315"/>
      <c r="G14" s="1315"/>
      <c r="H14" s="1315"/>
      <c r="I14" s="1315"/>
      <c r="J14" s="1315"/>
      <c r="K14" s="2116"/>
      <c r="L14" s="2117">
        <f>SUM(C14:K14)</f>
        <v>129565489</v>
      </c>
      <c r="M14"/>
      <c r="N14"/>
      <c r="O14"/>
      <c r="P14"/>
      <c r="Q14"/>
      <c r="R14"/>
      <c r="S14"/>
      <c r="T14"/>
    </row>
    <row r="15" spans="1:20" ht="0.15" customHeight="1" thickBot="1" x14ac:dyDescent="0.3">
      <c r="A15" s="1177"/>
      <c r="B15" s="1176" t="s">
        <v>357</v>
      </c>
      <c r="C15" s="1281"/>
      <c r="D15" s="1281"/>
      <c r="E15" s="1281">
        <f>SUM('5.a.sz. melléklet'!E16)</f>
        <v>110194</v>
      </c>
      <c r="F15" s="1281"/>
      <c r="G15" s="1281"/>
      <c r="H15" s="1281"/>
      <c r="I15" s="1281"/>
      <c r="J15" s="1281"/>
      <c r="K15" s="2118"/>
      <c r="L15" s="2119">
        <f>SUM(C15:K15)</f>
        <v>110194</v>
      </c>
      <c r="M15"/>
      <c r="N15"/>
      <c r="O15"/>
      <c r="P15"/>
      <c r="Q15"/>
      <c r="R15"/>
      <c r="S15"/>
      <c r="T15"/>
    </row>
    <row r="16" spans="1:20" s="778" customFormat="1" ht="0.15" customHeight="1" x14ac:dyDescent="0.25">
      <c r="A16" s="832"/>
      <c r="B16" s="794" t="s">
        <v>355</v>
      </c>
      <c r="C16" s="2120"/>
      <c r="D16" s="2120"/>
      <c r="E16" s="2120"/>
      <c r="F16" s="2120"/>
      <c r="G16" s="2120"/>
      <c r="H16" s="2120"/>
      <c r="I16" s="2120"/>
      <c r="J16" s="2120"/>
      <c r="K16" s="1921"/>
      <c r="L16" s="2124">
        <f>SUM(C16:K16)</f>
        <v>0</v>
      </c>
    </row>
    <row r="17" spans="1:20" ht="15" customHeight="1" x14ac:dyDescent="0.25">
      <c r="A17" s="697" t="s">
        <v>284</v>
      </c>
      <c r="B17" s="401" t="s">
        <v>285</v>
      </c>
      <c r="C17" s="1292"/>
      <c r="D17" s="1292"/>
      <c r="E17" s="1292"/>
      <c r="F17" s="1292"/>
      <c r="G17" s="1292"/>
      <c r="H17" s="1292"/>
      <c r="I17" s="1292"/>
      <c r="J17" s="1292"/>
      <c r="K17" s="2122"/>
      <c r="L17" s="2125"/>
      <c r="M17"/>
      <c r="N17"/>
      <c r="O17"/>
      <c r="P17"/>
      <c r="Q17"/>
      <c r="R17"/>
      <c r="S17"/>
      <c r="T17"/>
    </row>
    <row r="18" spans="1:20" ht="15" customHeight="1" thickBot="1" x14ac:dyDescent="0.3">
      <c r="A18" s="750"/>
      <c r="B18" s="381" t="s">
        <v>356</v>
      </c>
      <c r="C18" s="1315"/>
      <c r="D18" s="1315"/>
      <c r="E18" s="1315"/>
      <c r="F18" s="1315"/>
      <c r="G18" s="1315"/>
      <c r="H18" s="1315"/>
      <c r="I18" s="1315"/>
      <c r="J18" s="1315">
        <f>SUM('5.a.sz. melléklet'!J19)</f>
        <v>100000000</v>
      </c>
      <c r="K18" s="2116"/>
      <c r="L18" s="2117">
        <f>SUM(C18:K18)</f>
        <v>100000000</v>
      </c>
      <c r="M18"/>
      <c r="N18"/>
      <c r="O18"/>
      <c r="P18"/>
      <c r="Q18"/>
      <c r="R18"/>
      <c r="S18"/>
      <c r="T18"/>
    </row>
    <row r="19" spans="1:20" ht="0.15" customHeight="1" thickBot="1" x14ac:dyDescent="0.3">
      <c r="A19" s="1175"/>
      <c r="B19" s="1176" t="s">
        <v>357</v>
      </c>
      <c r="C19" s="1281"/>
      <c r="D19" s="1281"/>
      <c r="E19" s="1281"/>
      <c r="F19" s="1281"/>
      <c r="G19" s="1281"/>
      <c r="H19" s="1281"/>
      <c r="I19" s="1281"/>
      <c r="J19" s="1281">
        <f>SUM('5.a.sz. melléklet'!J20)</f>
        <v>100027391</v>
      </c>
      <c r="K19" s="2118"/>
      <c r="L19" s="2119">
        <f>SUM(C19:K19)</f>
        <v>100027391</v>
      </c>
      <c r="M19"/>
      <c r="N19"/>
      <c r="O19"/>
      <c r="P19"/>
      <c r="Q19"/>
      <c r="R19"/>
      <c r="S19"/>
      <c r="T19"/>
    </row>
    <row r="20" spans="1:20" s="778" customFormat="1" ht="0.15" customHeight="1" x14ac:dyDescent="0.25">
      <c r="A20" s="833"/>
      <c r="B20" s="794" t="s">
        <v>355</v>
      </c>
      <c r="C20" s="2120"/>
      <c r="D20" s="2120"/>
      <c r="E20" s="2120"/>
      <c r="F20" s="2120"/>
      <c r="G20" s="2120"/>
      <c r="H20" s="2120"/>
      <c r="I20" s="2120"/>
      <c r="J20" s="2120"/>
      <c r="K20" s="1921"/>
      <c r="L20" s="2124">
        <f>SUM(C20:K20)</f>
        <v>0</v>
      </c>
    </row>
    <row r="21" spans="1:20" ht="18" x14ac:dyDescent="0.25">
      <c r="A21" s="399" t="s">
        <v>255</v>
      </c>
      <c r="B21" s="400" t="s">
        <v>161</v>
      </c>
      <c r="C21" s="1314"/>
      <c r="D21" s="2126"/>
      <c r="E21" s="2126"/>
      <c r="F21" s="2126"/>
      <c r="G21" s="2126"/>
      <c r="H21" s="2126"/>
      <c r="I21" s="2126"/>
      <c r="J21" s="2126"/>
      <c r="K21" s="2127"/>
      <c r="L21" s="2125"/>
      <c r="M21"/>
      <c r="N21"/>
      <c r="O21"/>
      <c r="P21"/>
      <c r="Q21"/>
      <c r="R21"/>
      <c r="S21"/>
      <c r="T21"/>
    </row>
    <row r="22" spans="1:20" ht="15" customHeight="1" thickBot="1" x14ac:dyDescent="0.3">
      <c r="A22" s="748"/>
      <c r="B22" s="381" t="s">
        <v>356</v>
      </c>
      <c r="C22" s="1357">
        <f>SUM('5.a.sz. melléklet'!C37)</f>
        <v>8351000</v>
      </c>
      <c r="D22" s="2128"/>
      <c r="E22" s="2128"/>
      <c r="F22" s="2128"/>
      <c r="G22" s="2128"/>
      <c r="H22" s="2128"/>
      <c r="I22" s="2128"/>
      <c r="J22" s="2128"/>
      <c r="K22" s="2129"/>
      <c r="L22" s="2117">
        <f>SUM(C22:K22)</f>
        <v>8351000</v>
      </c>
      <c r="M22"/>
      <c r="N22"/>
      <c r="O22"/>
      <c r="P22"/>
      <c r="Q22"/>
      <c r="R22"/>
      <c r="S22"/>
      <c r="T22"/>
    </row>
    <row r="23" spans="1:20" ht="0.15" customHeight="1" thickBot="1" x14ac:dyDescent="0.3">
      <c r="A23" s="1177"/>
      <c r="B23" s="1176" t="s">
        <v>357</v>
      </c>
      <c r="C23" s="2130">
        <f>SUM('5.a.sz. melléklet'!C38)</f>
        <v>8351000</v>
      </c>
      <c r="D23" s="2131"/>
      <c r="E23" s="2131"/>
      <c r="F23" s="2131"/>
      <c r="G23" s="2131"/>
      <c r="H23" s="2131"/>
      <c r="I23" s="2131"/>
      <c r="J23" s="2131"/>
      <c r="K23" s="2132"/>
      <c r="L23" s="2119">
        <f>SUM(C23:K23)</f>
        <v>8351000</v>
      </c>
      <c r="M23"/>
      <c r="N23"/>
      <c r="O23"/>
      <c r="P23"/>
      <c r="Q23"/>
      <c r="R23"/>
      <c r="S23"/>
      <c r="T23"/>
    </row>
    <row r="24" spans="1:20" s="778" customFormat="1" ht="0.15" customHeight="1" x14ac:dyDescent="0.25">
      <c r="A24" s="832"/>
      <c r="B24" s="794" t="s">
        <v>355</v>
      </c>
      <c r="C24" s="2133"/>
      <c r="D24" s="2134"/>
      <c r="E24" s="2134"/>
      <c r="F24" s="2134"/>
      <c r="G24" s="2133"/>
      <c r="H24" s="2133"/>
      <c r="I24" s="2134"/>
      <c r="J24" s="2134"/>
      <c r="K24" s="2135"/>
      <c r="L24" s="2124">
        <f>SUM(C24:K24)</f>
        <v>0</v>
      </c>
    </row>
    <row r="25" spans="1:20" ht="18" x14ac:dyDescent="0.25">
      <c r="A25" s="399" t="s">
        <v>256</v>
      </c>
      <c r="B25" s="400" t="s">
        <v>282</v>
      </c>
      <c r="C25" s="1314"/>
      <c r="D25" s="2126"/>
      <c r="E25" s="2126"/>
      <c r="F25" s="2126"/>
      <c r="G25" s="2126"/>
      <c r="H25" s="2126"/>
      <c r="I25" s="2126"/>
      <c r="J25" s="2126"/>
      <c r="K25" s="2127"/>
      <c r="L25" s="2125"/>
      <c r="M25"/>
      <c r="N25"/>
      <c r="O25"/>
      <c r="P25"/>
      <c r="Q25"/>
      <c r="R25"/>
      <c r="S25"/>
      <c r="T25"/>
    </row>
    <row r="26" spans="1:20" ht="15" customHeight="1" thickBot="1" x14ac:dyDescent="0.3">
      <c r="A26" s="748"/>
      <c r="B26" s="381" t="s">
        <v>356</v>
      </c>
      <c r="C26" s="1357">
        <f>SUM('5.a.sz. melléklet'!C41)</f>
        <v>8460000</v>
      </c>
      <c r="D26" s="2128"/>
      <c r="E26" s="2128"/>
      <c r="F26" s="2128"/>
      <c r="G26" s="2128"/>
      <c r="H26" s="2128"/>
      <c r="I26" s="2128"/>
      <c r="J26" s="2128"/>
      <c r="K26" s="2129"/>
      <c r="L26" s="2117">
        <f>SUM(C26:K26)</f>
        <v>8460000</v>
      </c>
      <c r="M26"/>
      <c r="N26"/>
      <c r="O26"/>
      <c r="P26"/>
      <c r="Q26"/>
      <c r="R26"/>
      <c r="S26"/>
      <c r="T26"/>
    </row>
    <row r="27" spans="1:20" ht="0.15" customHeight="1" thickBot="1" x14ac:dyDescent="0.3">
      <c r="A27" s="1177"/>
      <c r="B27" s="1176" t="s">
        <v>357</v>
      </c>
      <c r="C27" s="2130">
        <f>SUM('5.a.sz. melléklet'!C42)</f>
        <v>8460000</v>
      </c>
      <c r="D27" s="2131"/>
      <c r="E27" s="2131"/>
      <c r="F27" s="2131"/>
      <c r="G27" s="2131"/>
      <c r="H27" s="2136"/>
      <c r="I27" s="2131"/>
      <c r="J27" s="2131"/>
      <c r="K27" s="2132"/>
      <c r="L27" s="2119">
        <f>SUM(C27:K27)</f>
        <v>8460000</v>
      </c>
      <c r="M27"/>
      <c r="N27"/>
      <c r="O27"/>
      <c r="P27"/>
      <c r="Q27"/>
      <c r="R27"/>
      <c r="S27"/>
      <c r="T27"/>
    </row>
    <row r="28" spans="1:20" s="778" customFormat="1" ht="0.15" customHeight="1" x14ac:dyDescent="0.25">
      <c r="A28" s="832"/>
      <c r="B28" s="794" t="s">
        <v>355</v>
      </c>
      <c r="C28" s="2133"/>
      <c r="D28" s="2134"/>
      <c r="E28" s="2134"/>
      <c r="F28" s="2134"/>
      <c r="G28" s="2134"/>
      <c r="H28" s="2137"/>
      <c r="I28" s="2134"/>
      <c r="J28" s="2134"/>
      <c r="K28" s="2135"/>
      <c r="L28" s="2124">
        <f>SUM(C28:K28)</f>
        <v>0</v>
      </c>
    </row>
    <row r="29" spans="1:20" ht="15" customHeight="1" x14ac:dyDescent="0.25">
      <c r="A29" s="399" t="s">
        <v>258</v>
      </c>
      <c r="B29" s="400" t="s">
        <v>259</v>
      </c>
      <c r="C29" s="1292"/>
      <c r="D29" s="1292"/>
      <c r="E29" s="1292"/>
      <c r="F29" s="1292"/>
      <c r="G29" s="1292"/>
      <c r="H29" s="1292"/>
      <c r="I29" s="1292"/>
      <c r="J29" s="1292"/>
      <c r="K29" s="2122"/>
      <c r="L29" s="2125"/>
      <c r="M29"/>
      <c r="N29"/>
      <c r="O29"/>
      <c r="P29"/>
      <c r="Q29"/>
      <c r="R29"/>
      <c r="S29"/>
      <c r="T29"/>
    </row>
    <row r="30" spans="1:20" ht="15" customHeight="1" thickBot="1" x14ac:dyDescent="0.3">
      <c r="A30" s="748"/>
      <c r="B30" s="381" t="s">
        <v>356</v>
      </c>
      <c r="C30" s="1315">
        <f>SUM('5.a.sz. melléklet'!C47)</f>
        <v>1016000</v>
      </c>
      <c r="D30" s="1315"/>
      <c r="E30" s="1315"/>
      <c r="F30" s="1315"/>
      <c r="G30" s="1315"/>
      <c r="H30" s="1315"/>
      <c r="I30" s="1315"/>
      <c r="J30" s="1315"/>
      <c r="K30" s="2116"/>
      <c r="L30" s="2117">
        <f>SUM(C30:K30)</f>
        <v>1016000</v>
      </c>
      <c r="M30"/>
      <c r="N30"/>
      <c r="O30"/>
      <c r="P30"/>
      <c r="Q30"/>
      <c r="R30"/>
      <c r="S30"/>
      <c r="T30"/>
    </row>
    <row r="31" spans="1:20" ht="0.15" customHeight="1" thickBot="1" x14ac:dyDescent="0.3">
      <c r="A31" s="1177"/>
      <c r="B31" s="1176" t="s">
        <v>357</v>
      </c>
      <c r="C31" s="1281"/>
      <c r="D31" s="1281"/>
      <c r="E31" s="1281"/>
      <c r="F31" s="1281"/>
      <c r="G31" s="1281"/>
      <c r="H31" s="1281"/>
      <c r="I31" s="1281"/>
      <c r="J31" s="1281"/>
      <c r="K31" s="2118"/>
      <c r="L31" s="2119">
        <f>SUM(C31:K31)</f>
        <v>0</v>
      </c>
      <c r="M31"/>
      <c r="N31"/>
      <c r="O31"/>
      <c r="P31"/>
      <c r="Q31"/>
      <c r="R31"/>
      <c r="S31"/>
      <c r="T31"/>
    </row>
    <row r="32" spans="1:20" s="778" customFormat="1" ht="0.15" customHeight="1" x14ac:dyDescent="0.25">
      <c r="A32" s="832"/>
      <c r="B32" s="794" t="s">
        <v>355</v>
      </c>
      <c r="C32" s="2120"/>
      <c r="D32" s="2120"/>
      <c r="E32" s="2120"/>
      <c r="F32" s="2120"/>
      <c r="G32" s="2120"/>
      <c r="H32" s="2120"/>
      <c r="I32" s="2120"/>
      <c r="J32" s="2120"/>
      <c r="K32" s="1921"/>
      <c r="L32" s="2124">
        <f>SUM(C32:K32)</f>
        <v>0</v>
      </c>
    </row>
    <row r="33" spans="1:20" ht="15" customHeight="1" x14ac:dyDescent="0.25">
      <c r="A33" s="399" t="s">
        <v>293</v>
      </c>
      <c r="B33" s="400" t="s">
        <v>110</v>
      </c>
      <c r="C33" s="1292"/>
      <c r="D33" s="1292"/>
      <c r="E33" s="1292"/>
      <c r="F33" s="1292"/>
      <c r="G33" s="1292"/>
      <c r="H33" s="1292"/>
      <c r="I33" s="1292"/>
      <c r="J33" s="1292"/>
      <c r="K33" s="2122"/>
      <c r="L33" s="2125"/>
      <c r="M33"/>
      <c r="N33"/>
      <c r="O33"/>
      <c r="P33"/>
      <c r="Q33"/>
      <c r="R33"/>
      <c r="S33"/>
      <c r="T33"/>
    </row>
    <row r="34" spans="1:20" ht="15" customHeight="1" thickBot="1" x14ac:dyDescent="0.3">
      <c r="A34" s="748"/>
      <c r="B34" s="381" t="s">
        <v>356</v>
      </c>
      <c r="C34" s="1315">
        <f>SUM('5.a.sz. melléklet'!C51)</f>
        <v>762000</v>
      </c>
      <c r="D34" s="1315"/>
      <c r="E34" s="1315"/>
      <c r="F34" s="1315"/>
      <c r="G34" s="1315"/>
      <c r="H34" s="1315"/>
      <c r="I34" s="1315"/>
      <c r="J34" s="1315"/>
      <c r="K34" s="2116"/>
      <c r="L34" s="2117">
        <f>SUM(C34:K34)</f>
        <v>762000</v>
      </c>
      <c r="M34"/>
      <c r="N34"/>
      <c r="O34"/>
      <c r="P34"/>
      <c r="Q34"/>
      <c r="R34"/>
      <c r="S34"/>
      <c r="T34"/>
    </row>
    <row r="35" spans="1:20" ht="0.15" customHeight="1" thickBot="1" x14ac:dyDescent="0.3">
      <c r="A35" s="1177"/>
      <c r="B35" s="1176" t="s">
        <v>357</v>
      </c>
      <c r="C35" s="1281">
        <f>SUM('5.a.sz. melléklet'!C52)</f>
        <v>762000</v>
      </c>
      <c r="D35" s="1281"/>
      <c r="E35" s="1281"/>
      <c r="F35" s="1281"/>
      <c r="G35" s="1281"/>
      <c r="H35" s="1281"/>
      <c r="I35" s="1281"/>
      <c r="J35" s="1281"/>
      <c r="K35" s="2118"/>
      <c r="L35" s="2119">
        <f>SUM(C35:K35)</f>
        <v>762000</v>
      </c>
      <c r="M35"/>
      <c r="N35"/>
      <c r="O35"/>
      <c r="P35"/>
      <c r="Q35"/>
      <c r="R35"/>
      <c r="S35"/>
      <c r="T35"/>
    </row>
    <row r="36" spans="1:20" s="778" customFormat="1" ht="0.15" customHeight="1" x14ac:dyDescent="0.25">
      <c r="A36" s="832"/>
      <c r="B36" s="794" t="s">
        <v>355</v>
      </c>
      <c r="C36" s="2120"/>
      <c r="D36" s="2120"/>
      <c r="E36" s="2120"/>
      <c r="F36" s="2120"/>
      <c r="G36" s="2120"/>
      <c r="H36" s="2120"/>
      <c r="I36" s="2120"/>
      <c r="J36" s="2120"/>
      <c r="K36" s="1921"/>
      <c r="L36" s="2124">
        <f>SUM(C36:K36)</f>
        <v>0</v>
      </c>
    </row>
    <row r="37" spans="1:20" ht="18" x14ac:dyDescent="0.25">
      <c r="A37" s="399" t="s">
        <v>261</v>
      </c>
      <c r="B37" s="400" t="s">
        <v>163</v>
      </c>
      <c r="C37" s="1292"/>
      <c r="D37" s="1292"/>
      <c r="E37" s="1292"/>
      <c r="F37" s="1292"/>
      <c r="G37" s="1292"/>
      <c r="H37" s="1292"/>
      <c r="I37" s="1292"/>
      <c r="J37" s="1292"/>
      <c r="K37" s="2122"/>
      <c r="L37" s="2125"/>
      <c r="M37"/>
      <c r="N37"/>
      <c r="O37"/>
      <c r="P37"/>
      <c r="Q37"/>
      <c r="R37"/>
      <c r="S37"/>
      <c r="T37"/>
    </row>
    <row r="38" spans="1:20" ht="15" customHeight="1" thickBot="1" x14ac:dyDescent="0.3">
      <c r="A38" s="748"/>
      <c r="B38" s="381" t="s">
        <v>356</v>
      </c>
      <c r="C38" s="1315"/>
      <c r="D38" s="1315"/>
      <c r="E38" s="1315"/>
      <c r="F38" s="1315">
        <f>SUM('5.a.sz. melléklet'!F55)</f>
        <v>11007600</v>
      </c>
      <c r="G38" s="1315"/>
      <c r="H38" s="1315"/>
      <c r="I38" s="1315"/>
      <c r="J38" s="1315"/>
      <c r="K38" s="2116"/>
      <c r="L38" s="2117">
        <f>SUM(C38:K38)</f>
        <v>11007600</v>
      </c>
      <c r="M38"/>
      <c r="N38"/>
      <c r="O38"/>
      <c r="P38"/>
      <c r="Q38"/>
      <c r="R38"/>
      <c r="S38"/>
      <c r="T38"/>
    </row>
    <row r="39" spans="1:20" ht="0.15" customHeight="1" thickBot="1" x14ac:dyDescent="0.3">
      <c r="A39" s="1177"/>
      <c r="B39" s="1176" t="s">
        <v>357</v>
      </c>
      <c r="C39" s="1281"/>
      <c r="D39" s="1281"/>
      <c r="E39" s="1281"/>
      <c r="F39" s="1281">
        <f>SUM('5.a.sz. melléklet'!F56)</f>
        <v>11007600</v>
      </c>
      <c r="G39" s="1281"/>
      <c r="H39" s="1281"/>
      <c r="I39" s="1281"/>
      <c r="J39" s="1281"/>
      <c r="K39" s="2118"/>
      <c r="L39" s="2119">
        <f>SUM(C39:K39)</f>
        <v>11007600</v>
      </c>
      <c r="M39"/>
      <c r="N39"/>
      <c r="O39"/>
      <c r="P39"/>
      <c r="Q39"/>
      <c r="R39"/>
      <c r="S39"/>
      <c r="T39"/>
    </row>
    <row r="40" spans="1:20" s="778" customFormat="1" ht="0.15" customHeight="1" x14ac:dyDescent="0.25">
      <c r="A40" s="832"/>
      <c r="B40" s="794" t="s">
        <v>355</v>
      </c>
      <c r="C40" s="2120"/>
      <c r="D40" s="2120"/>
      <c r="E40" s="2120"/>
      <c r="F40" s="2120"/>
      <c r="G40" s="2120"/>
      <c r="H40" s="2120"/>
      <c r="I40" s="2120"/>
      <c r="J40" s="2120"/>
      <c r="K40" s="1921"/>
      <c r="L40" s="2124">
        <f>SUM(C40:K40)</f>
        <v>0</v>
      </c>
    </row>
    <row r="41" spans="1:20" ht="18" x14ac:dyDescent="0.25">
      <c r="A41" s="399" t="s">
        <v>262</v>
      </c>
      <c r="B41" s="400" t="s">
        <v>308</v>
      </c>
      <c r="C41" s="1292"/>
      <c r="D41" s="1292"/>
      <c r="E41" s="1292"/>
      <c r="F41" s="1292"/>
      <c r="G41" s="1292"/>
      <c r="H41" s="1292"/>
      <c r="I41" s="1292"/>
      <c r="J41" s="1292"/>
      <c r="K41" s="2122"/>
      <c r="L41" s="2125"/>
      <c r="M41"/>
      <c r="N41"/>
      <c r="O41"/>
      <c r="P41"/>
      <c r="Q41"/>
      <c r="R41"/>
      <c r="S41"/>
      <c r="T41"/>
    </row>
    <row r="42" spans="1:20" ht="15" customHeight="1" thickBot="1" x14ac:dyDescent="0.3">
      <c r="A42" s="748"/>
      <c r="B42" s="381" t="s">
        <v>356</v>
      </c>
      <c r="C42" s="1315"/>
      <c r="D42" s="1315"/>
      <c r="E42" s="1315"/>
      <c r="F42" s="1315">
        <f>SUM('5.a.sz. melléklet'!F59)</f>
        <v>330000</v>
      </c>
      <c r="G42" s="1315"/>
      <c r="H42" s="1315"/>
      <c r="I42" s="1315"/>
      <c r="J42" s="1315"/>
      <c r="K42" s="2116"/>
      <c r="L42" s="2117">
        <f>SUM(C42:K42)</f>
        <v>330000</v>
      </c>
      <c r="M42"/>
      <c r="N42"/>
      <c r="O42"/>
      <c r="P42"/>
      <c r="Q42"/>
      <c r="R42"/>
      <c r="S42"/>
      <c r="T42"/>
    </row>
    <row r="43" spans="1:20" ht="0.15" customHeight="1" thickBot="1" x14ac:dyDescent="0.3">
      <c r="A43" s="1177"/>
      <c r="B43" s="1176" t="s">
        <v>357</v>
      </c>
      <c r="C43" s="1281"/>
      <c r="D43" s="1281"/>
      <c r="E43" s="1281"/>
      <c r="F43" s="1281">
        <f>SUM('5.a.sz. melléklet'!F60)</f>
        <v>330000</v>
      </c>
      <c r="G43" s="1281"/>
      <c r="H43" s="1281"/>
      <c r="I43" s="1281"/>
      <c r="J43" s="1281"/>
      <c r="K43" s="2118"/>
      <c r="L43" s="2119">
        <f>SUM(C43:K43)</f>
        <v>330000</v>
      </c>
      <c r="M43"/>
      <c r="N43"/>
      <c r="O43"/>
      <c r="P43"/>
      <c r="Q43"/>
      <c r="R43"/>
      <c r="S43"/>
      <c r="T43"/>
    </row>
    <row r="44" spans="1:20" s="778" customFormat="1" ht="0.15" customHeight="1" x14ac:dyDescent="0.25">
      <c r="A44" s="832"/>
      <c r="B44" s="794" t="s">
        <v>355</v>
      </c>
      <c r="C44" s="2120"/>
      <c r="D44" s="2120"/>
      <c r="E44" s="2120"/>
      <c r="F44" s="2120"/>
      <c r="G44" s="2120"/>
      <c r="H44" s="2120"/>
      <c r="I44" s="2120"/>
      <c r="J44" s="2120"/>
      <c r="K44" s="1921"/>
      <c r="L44" s="2124">
        <f>SUM(C44:K44)</f>
        <v>0</v>
      </c>
    </row>
    <row r="45" spans="1:20" ht="15" customHeight="1" x14ac:dyDescent="0.25">
      <c r="A45" s="399" t="s">
        <v>265</v>
      </c>
      <c r="B45" s="400" t="s">
        <v>266</v>
      </c>
      <c r="C45" s="1292"/>
      <c r="D45" s="1292"/>
      <c r="E45" s="1292"/>
      <c r="F45" s="1292"/>
      <c r="G45" s="1292"/>
      <c r="H45" s="1292"/>
      <c r="I45" s="1292"/>
      <c r="J45" s="1292"/>
      <c r="K45" s="2122"/>
      <c r="L45" s="2123"/>
      <c r="M45"/>
      <c r="N45"/>
      <c r="O45"/>
      <c r="P45"/>
      <c r="Q45"/>
      <c r="R45"/>
      <c r="S45"/>
      <c r="T45"/>
    </row>
    <row r="46" spans="1:20" ht="15" customHeight="1" thickBot="1" x14ac:dyDescent="0.3">
      <c r="A46" s="748"/>
      <c r="B46" s="381" t="s">
        <v>356</v>
      </c>
      <c r="C46" s="1315">
        <f>SUM('5.a.sz. melléklet'!C63)</f>
        <v>508000</v>
      </c>
      <c r="D46" s="1315"/>
      <c r="E46" s="1315"/>
      <c r="F46" s="1315"/>
      <c r="G46" s="1315"/>
      <c r="H46" s="1315"/>
      <c r="I46" s="1315"/>
      <c r="J46" s="1315"/>
      <c r="K46" s="2116"/>
      <c r="L46" s="2117">
        <f>SUM(C46:K46)</f>
        <v>508000</v>
      </c>
      <c r="M46"/>
      <c r="N46"/>
      <c r="O46"/>
      <c r="P46"/>
      <c r="Q46"/>
      <c r="R46"/>
      <c r="S46"/>
      <c r="T46"/>
    </row>
    <row r="47" spans="1:20" ht="0.15" customHeight="1" thickBot="1" x14ac:dyDescent="0.3">
      <c r="A47" s="1177"/>
      <c r="B47" s="1176" t="s">
        <v>357</v>
      </c>
      <c r="C47" s="1281">
        <f>SUM('5.a.sz. melléklet'!C64)</f>
        <v>508000</v>
      </c>
      <c r="D47" s="1281"/>
      <c r="E47" s="1281"/>
      <c r="F47" s="1281"/>
      <c r="G47" s="1281"/>
      <c r="H47" s="1281"/>
      <c r="I47" s="1281"/>
      <c r="J47" s="1281"/>
      <c r="K47" s="2118"/>
      <c r="L47" s="2119">
        <f>SUM(C47:K47)</f>
        <v>508000</v>
      </c>
      <c r="M47"/>
      <c r="N47"/>
      <c r="O47"/>
      <c r="P47"/>
      <c r="Q47"/>
      <c r="R47"/>
      <c r="S47"/>
      <c r="T47"/>
    </row>
    <row r="48" spans="1:20" s="778" customFormat="1" ht="0.15" customHeight="1" x14ac:dyDescent="0.25">
      <c r="A48" s="832"/>
      <c r="B48" s="794" t="s">
        <v>355</v>
      </c>
      <c r="C48" s="2120"/>
      <c r="D48" s="2120"/>
      <c r="E48" s="2120"/>
      <c r="F48" s="2120"/>
      <c r="G48" s="2120"/>
      <c r="H48" s="2120"/>
      <c r="I48" s="2120"/>
      <c r="J48" s="2120"/>
      <c r="K48" s="1921"/>
      <c r="L48" s="2124">
        <f>SUM(C48:K48)</f>
        <v>0</v>
      </c>
    </row>
    <row r="49" spans="1:20" ht="23.25" customHeight="1" x14ac:dyDescent="0.25">
      <c r="A49" s="2105" t="s">
        <v>280</v>
      </c>
      <c r="B49" s="2106" t="s">
        <v>281</v>
      </c>
      <c r="C49" s="1292"/>
      <c r="D49" s="1292"/>
      <c r="E49" s="1292"/>
      <c r="F49" s="1292"/>
      <c r="G49" s="1292"/>
      <c r="H49" s="1292"/>
      <c r="I49" s="1292"/>
      <c r="J49" s="1292"/>
      <c r="K49" s="2122"/>
      <c r="L49" s="2123">
        <f>SUM(C49:K49)</f>
        <v>0</v>
      </c>
      <c r="M49"/>
      <c r="N49"/>
      <c r="O49"/>
      <c r="P49"/>
      <c r="Q49"/>
      <c r="R49"/>
      <c r="S49"/>
      <c r="T49"/>
    </row>
    <row r="50" spans="1:20" s="1409" customFormat="1" ht="15" customHeight="1" thickBot="1" x14ac:dyDescent="0.3">
      <c r="A50" s="2103"/>
      <c r="B50" s="2104" t="s">
        <v>356</v>
      </c>
      <c r="C50" s="1999"/>
      <c r="D50" s="1999"/>
      <c r="E50" s="1999"/>
      <c r="F50" s="1999"/>
      <c r="G50" s="1999">
        <f>SUM('5.a.sz. melléklet'!G67)</f>
        <v>35308000</v>
      </c>
      <c r="H50" s="1999"/>
      <c r="I50" s="1999"/>
      <c r="J50" s="1999"/>
      <c r="K50" s="2138"/>
      <c r="L50" s="2139">
        <f>SUM(C50:K50)</f>
        <v>35308000</v>
      </c>
    </row>
    <row r="51" spans="1:20" ht="15" customHeight="1" x14ac:dyDescent="0.25">
      <c r="A51" s="402" t="s">
        <v>387</v>
      </c>
      <c r="B51" s="763" t="s">
        <v>399</v>
      </c>
      <c r="C51" s="1278"/>
      <c r="D51" s="1278"/>
      <c r="E51" s="1278"/>
      <c r="F51" s="1278"/>
      <c r="G51" s="1278"/>
      <c r="H51" s="1278"/>
      <c r="I51" s="1278"/>
      <c r="J51" s="1278"/>
      <c r="K51" s="1920"/>
      <c r="L51" s="2125"/>
      <c r="M51"/>
      <c r="N51"/>
      <c r="O51"/>
      <c r="P51"/>
      <c r="Q51"/>
      <c r="R51"/>
      <c r="S51"/>
      <c r="T51"/>
    </row>
    <row r="52" spans="1:20" ht="15" customHeight="1" thickBot="1" x14ac:dyDescent="0.3">
      <c r="A52" s="748"/>
      <c r="B52" s="381" t="s">
        <v>356</v>
      </c>
      <c r="C52" s="1315">
        <f>SUM('5.a.sz. melléklet'!C69)</f>
        <v>9516000</v>
      </c>
      <c r="D52" s="1315"/>
      <c r="E52" s="1315"/>
      <c r="F52" s="1315"/>
      <c r="G52" s="1315"/>
      <c r="H52" s="1315"/>
      <c r="I52" s="1315"/>
      <c r="J52" s="1315"/>
      <c r="K52" s="2116"/>
      <c r="L52" s="2117">
        <f>SUM(C52:K52)</f>
        <v>9516000</v>
      </c>
      <c r="M52"/>
      <c r="N52"/>
      <c r="O52"/>
      <c r="P52"/>
      <c r="Q52"/>
      <c r="R52"/>
      <c r="S52"/>
      <c r="T52"/>
    </row>
    <row r="53" spans="1:20" ht="15" customHeight="1" x14ac:dyDescent="0.25">
      <c r="A53" s="402" t="s">
        <v>267</v>
      </c>
      <c r="B53" s="763" t="s">
        <v>113</v>
      </c>
      <c r="C53" s="1278"/>
      <c r="D53" s="1278"/>
      <c r="E53" s="1278"/>
      <c r="F53" s="1278"/>
      <c r="G53" s="1278"/>
      <c r="H53" s="1278"/>
      <c r="I53" s="1278"/>
      <c r="J53" s="1278"/>
      <c r="K53" s="1279"/>
      <c r="L53" s="2125"/>
      <c r="M53"/>
      <c r="N53"/>
      <c r="O53"/>
      <c r="P53"/>
      <c r="Q53"/>
      <c r="R53"/>
      <c r="S53"/>
      <c r="T53"/>
    </row>
    <row r="54" spans="1:20" ht="15" customHeight="1" thickBot="1" x14ac:dyDescent="0.3">
      <c r="A54" s="748"/>
      <c r="B54" s="381" t="s">
        <v>356</v>
      </c>
      <c r="C54" s="1315">
        <f>SUM('5.a.sz. melléklet'!C73)</f>
        <v>889000</v>
      </c>
      <c r="D54" s="1315"/>
      <c r="E54" s="1315"/>
      <c r="F54" s="1315"/>
      <c r="G54" s="1315"/>
      <c r="H54" s="1315"/>
      <c r="I54" s="1315"/>
      <c r="J54" s="1315"/>
      <c r="K54" s="2116"/>
      <c r="L54" s="2117">
        <f>SUM(C54:K54)</f>
        <v>889000</v>
      </c>
      <c r="M54"/>
      <c r="N54"/>
      <c r="O54"/>
      <c r="P54"/>
      <c r="Q54"/>
      <c r="R54"/>
      <c r="S54"/>
      <c r="T54"/>
    </row>
    <row r="55" spans="1:20" ht="18" x14ac:dyDescent="0.25">
      <c r="A55" s="411" t="s">
        <v>268</v>
      </c>
      <c r="B55" s="763" t="s">
        <v>421</v>
      </c>
      <c r="C55" s="1278"/>
      <c r="D55" s="1278"/>
      <c r="E55" s="1278"/>
      <c r="F55" s="1278"/>
      <c r="G55" s="1278"/>
      <c r="H55" s="1278"/>
      <c r="I55" s="1278"/>
      <c r="J55" s="1278"/>
      <c r="K55" s="1920"/>
      <c r="L55" s="2125"/>
      <c r="M55"/>
      <c r="N55"/>
      <c r="O55"/>
      <c r="P55"/>
      <c r="Q55"/>
      <c r="R55"/>
      <c r="S55"/>
      <c r="T55"/>
    </row>
    <row r="56" spans="1:20" ht="15" customHeight="1" thickBot="1" x14ac:dyDescent="0.3">
      <c r="A56" s="323"/>
      <c r="B56" s="381" t="s">
        <v>356</v>
      </c>
      <c r="C56" s="1315"/>
      <c r="D56" s="1315"/>
      <c r="E56" s="1315"/>
      <c r="F56" s="1315">
        <f>SUM('5.a.sz. melléklet'!F77)</f>
        <v>0</v>
      </c>
      <c r="G56" s="1315"/>
      <c r="H56" s="1315"/>
      <c r="I56" s="1315"/>
      <c r="J56" s="1315"/>
      <c r="K56" s="2116"/>
      <c r="L56" s="2117">
        <f>SUM(C56:K56)</f>
        <v>0</v>
      </c>
      <c r="M56"/>
      <c r="N56"/>
      <c r="O56"/>
      <c r="P56"/>
      <c r="Q56"/>
      <c r="R56"/>
      <c r="S56"/>
      <c r="T56"/>
    </row>
    <row r="57" spans="1:20" s="778" customFormat="1" ht="26.4" x14ac:dyDescent="0.25">
      <c r="A57" s="1087" t="s">
        <v>471</v>
      </c>
      <c r="B57" s="1088" t="s">
        <v>472</v>
      </c>
      <c r="C57" s="2140"/>
      <c r="D57" s="2140"/>
      <c r="E57" s="2140"/>
      <c r="F57" s="2140"/>
      <c r="G57" s="2140"/>
      <c r="H57" s="2140"/>
      <c r="I57" s="2140"/>
      <c r="J57" s="2140"/>
      <c r="K57" s="2141"/>
      <c r="L57" s="2142"/>
    </row>
    <row r="58" spans="1:20" s="778" customFormat="1" ht="15" customHeight="1" thickBot="1" x14ac:dyDescent="0.3">
      <c r="A58" s="1187"/>
      <c r="B58" s="1179" t="s">
        <v>356</v>
      </c>
      <c r="C58" s="2143"/>
      <c r="D58" s="2143">
        <f>SUM('5.a.sz. melléklet'!D81)</f>
        <v>575791000</v>
      </c>
      <c r="E58" s="2143"/>
      <c r="F58" s="2143"/>
      <c r="G58" s="2143"/>
      <c r="H58" s="2143"/>
      <c r="I58" s="2143"/>
      <c r="J58" s="2143"/>
      <c r="K58" s="2144"/>
      <c r="L58" s="2145">
        <f>SUM(C58:K58)</f>
        <v>575791000</v>
      </c>
    </row>
    <row r="59" spans="1:20" s="778" customFormat="1" ht="0.15" customHeight="1" thickBot="1" x14ac:dyDescent="0.3">
      <c r="A59" s="1186"/>
      <c r="B59" s="1178" t="s">
        <v>357</v>
      </c>
      <c r="C59" s="2146"/>
      <c r="D59" s="2146">
        <v>543532</v>
      </c>
      <c r="E59" s="2146"/>
      <c r="F59" s="2146"/>
      <c r="G59" s="2146"/>
      <c r="H59" s="2146"/>
      <c r="I59" s="2146"/>
      <c r="J59" s="2146"/>
      <c r="K59" s="2147"/>
      <c r="L59" s="2148">
        <f>SUM(C59:K59)</f>
        <v>543532</v>
      </c>
    </row>
    <row r="60" spans="1:20" s="778" customFormat="1" ht="0.15" customHeight="1" x14ac:dyDescent="0.25">
      <c r="A60" s="942"/>
      <c r="B60" s="943"/>
      <c r="C60" s="2149"/>
      <c r="D60" s="2149"/>
      <c r="E60" s="2149"/>
      <c r="F60" s="2149"/>
      <c r="G60" s="2149"/>
      <c r="H60" s="2149"/>
      <c r="I60" s="2149"/>
      <c r="J60" s="2149"/>
      <c r="K60" s="2150"/>
      <c r="L60" s="2121"/>
    </row>
    <row r="61" spans="1:20" s="778" customFormat="1" ht="18" x14ac:dyDescent="0.25">
      <c r="A61" s="1087" t="s">
        <v>278</v>
      </c>
      <c r="B61" s="1088" t="s">
        <v>473</v>
      </c>
      <c r="C61" s="2151"/>
      <c r="D61" s="2151"/>
      <c r="E61" s="2151"/>
      <c r="F61" s="2151"/>
      <c r="G61" s="2151"/>
      <c r="H61" s="2151"/>
      <c r="I61" s="2151"/>
      <c r="J61" s="2151"/>
      <c r="K61" s="2152"/>
      <c r="L61" s="2153"/>
    </row>
    <row r="62" spans="1:20" s="778" customFormat="1" ht="15" customHeight="1" thickBot="1" x14ac:dyDescent="0.3">
      <c r="A62" s="948"/>
      <c r="B62" s="944" t="s">
        <v>356</v>
      </c>
      <c r="C62" s="2154"/>
      <c r="D62" s="2154"/>
      <c r="E62" s="2154"/>
      <c r="F62" s="2154"/>
      <c r="G62" s="2154"/>
      <c r="H62" s="2154"/>
      <c r="I62" s="2154"/>
      <c r="J62" s="2154"/>
      <c r="K62" s="2155">
        <f>SUM('5.a.sz. melléklet'!K85)</f>
        <v>300000000</v>
      </c>
      <c r="L62" s="2156">
        <f>SUM(C62:K62)</f>
        <v>300000000</v>
      </c>
    </row>
    <row r="63" spans="1:20" s="778" customFormat="1" ht="0.15" customHeight="1" thickBot="1" x14ac:dyDescent="0.3">
      <c r="A63" s="949"/>
      <c r="B63" s="946" t="s">
        <v>357</v>
      </c>
      <c r="C63" s="2157"/>
      <c r="D63" s="2157"/>
      <c r="E63" s="2157"/>
      <c r="F63" s="2157"/>
      <c r="G63" s="2157"/>
      <c r="H63" s="2157"/>
      <c r="I63" s="2157"/>
      <c r="J63" s="2157"/>
      <c r="K63" s="2158">
        <f>SUM('5.a.sz. melléklet'!K86)</f>
        <v>248750</v>
      </c>
      <c r="L63" s="2159">
        <f>SUM(K63)</f>
        <v>248750</v>
      </c>
    </row>
    <row r="64" spans="1:20" s="778" customFormat="1" ht="0.15" customHeight="1" thickBot="1" x14ac:dyDescent="0.3">
      <c r="A64" s="947"/>
      <c r="B64" s="945"/>
      <c r="C64" s="2160"/>
      <c r="D64" s="2160"/>
      <c r="E64" s="2160"/>
      <c r="F64" s="2160"/>
      <c r="G64" s="2160"/>
      <c r="H64" s="2160"/>
      <c r="I64" s="2160"/>
      <c r="J64" s="2160"/>
      <c r="K64" s="2161"/>
      <c r="L64" s="2162"/>
    </row>
    <row r="65" spans="1:20" s="138" customFormat="1" ht="30" customHeight="1" x14ac:dyDescent="0.25">
      <c r="A65" s="2576" t="s">
        <v>370</v>
      </c>
      <c r="B65" s="2577"/>
      <c r="C65" s="2163"/>
      <c r="D65" s="2163"/>
      <c r="E65" s="2163"/>
      <c r="F65" s="2163"/>
      <c r="G65" s="2163"/>
      <c r="H65" s="2163"/>
      <c r="I65" s="2163"/>
      <c r="J65" s="2163"/>
      <c r="K65" s="2164"/>
      <c r="L65" s="2115"/>
      <c r="N65" s="139"/>
    </row>
    <row r="66" spans="1:20" s="138" customFormat="1" ht="15" customHeight="1" thickBot="1" x14ac:dyDescent="0.2">
      <c r="A66" s="1190"/>
      <c r="B66" s="403" t="s">
        <v>356</v>
      </c>
      <c r="C66" s="2165">
        <f>C10+C14+C18+C22+C26+C30+C34+C38+C42+C52+C54+C46+C6+C62+C58+C56+C50</f>
        <v>86465000</v>
      </c>
      <c r="D66" s="2165">
        <f t="shared" ref="D66:L66" si="0">D10+D14+D18+D22+D26+D30+D34+D38+D42+D52+D54+D46+D6+D62+D58+D56+D50</f>
        <v>575791000</v>
      </c>
      <c r="E66" s="2165">
        <f t="shared" si="0"/>
        <v>129565489</v>
      </c>
      <c r="F66" s="2165">
        <f t="shared" si="0"/>
        <v>11337600</v>
      </c>
      <c r="G66" s="2165">
        <f t="shared" si="0"/>
        <v>772274574</v>
      </c>
      <c r="H66" s="2165">
        <f t="shared" si="0"/>
        <v>0</v>
      </c>
      <c r="I66" s="2165">
        <f t="shared" si="0"/>
        <v>217933000</v>
      </c>
      <c r="J66" s="2165">
        <f t="shared" si="0"/>
        <v>100000000</v>
      </c>
      <c r="K66" s="2165">
        <f t="shared" si="0"/>
        <v>300000000</v>
      </c>
      <c r="L66" s="2165">
        <f t="shared" si="0"/>
        <v>2193366663</v>
      </c>
      <c r="M66" s="407">
        <f>SUM(C66:K66)</f>
        <v>2193366663</v>
      </c>
      <c r="N66" s="139"/>
    </row>
    <row r="67" spans="1:20" s="138" customFormat="1" ht="0.15" customHeight="1" x14ac:dyDescent="0.15">
      <c r="A67" s="1188"/>
      <c r="B67" s="1189" t="s">
        <v>357</v>
      </c>
      <c r="C67" s="2166" t="e">
        <f>#REF!+C11+C15+C19+C23+C27+#REF!+C31+C35+C39+C43+C49+#REF!+#REF!+C47+C7</f>
        <v>#REF!</v>
      </c>
      <c r="D67" s="2166" t="e">
        <f>#REF!+D11+D15+D19+D23+D27+#REF!+D31+D35+D39+D43+D49+#REF!+#REF!+D59</f>
        <v>#REF!</v>
      </c>
      <c r="E67" s="2166" t="e">
        <f>#REF!+E11+E15+E19+E23+E27+#REF!+E31+E35+E39+E43+E49+#REF!+#REF!+#REF!+#REF!+#REF!+#REF!+#REF!+#REF!+#REF!+E7+#REF!</f>
        <v>#REF!</v>
      </c>
      <c r="F67" s="2166" t="e">
        <f>#REF!+F11+F15+F19+F23+F27+#REF!+F31+F35+F39+F43+F49+#REF!+#REF!+#REF!</f>
        <v>#REF!</v>
      </c>
      <c r="G67" s="2166" t="e">
        <f>#REF!+G11+G15+G19+G23+G27+#REF!+G31+G35+G39+G43+G49+#REF!+#REF!</f>
        <v>#REF!</v>
      </c>
      <c r="H67" s="2166" t="e">
        <f>#REF!+H11+H15+H19+H23+H27+#REF!+H31+H35+H39+H43+H49+#REF!+#REF!+H7</f>
        <v>#REF!</v>
      </c>
      <c r="I67" s="2166" t="e">
        <f>#REF!+I11+I15+I19+I23+I27+#REF!+I31+I35+I39+I43+I49+#REF!+#REF!</f>
        <v>#REF!</v>
      </c>
      <c r="J67" s="2166" t="e">
        <f>#REF!+J11+J15+J19+J23+J27+#REF!+J31+J35+J39+J43+J49+#REF!+#REF!</f>
        <v>#REF!</v>
      </c>
      <c r="K67" s="2167" t="e">
        <f>#REF!+K11+K15+K19+K23+K27+#REF!+K31+K35+K39+K43+K49+#REF!+#REF!+K7+K63</f>
        <v>#REF!</v>
      </c>
      <c r="L67" s="2168" t="e">
        <f>#REF!+L11+L15+L19+L23+L27+#REF!+L31+L35+L39+L43+L49+#REF!+#REF!+L7+L47+#REF!+#REF!+#REF!+#REF!+#REF!+#REF!+#REF!+#REF!+L63+L59</f>
        <v>#REF!</v>
      </c>
      <c r="M67" s="407" t="e">
        <f>SUM(C67:K67)</f>
        <v>#REF!</v>
      </c>
      <c r="N67" s="139"/>
    </row>
    <row r="68" spans="1:20" s="779" customFormat="1" ht="0.15" customHeight="1" x14ac:dyDescent="0.15">
      <c r="A68" s="818"/>
      <c r="B68" s="819" t="s">
        <v>355</v>
      </c>
      <c r="C68" s="2169" t="e">
        <f>#REF!+C12+C16+C20+C24+C28+#REF!+C32+C36+C40+C44+C50+#REF!+#REF!+C48+C8</f>
        <v>#REF!</v>
      </c>
      <c r="D68" s="2169" t="e">
        <f>#REF!+D12+D16+D20+D24+D28+#REF!+D32+D36+D40+D44+D50+#REF!+#REF!</f>
        <v>#REF!</v>
      </c>
      <c r="E68" s="2169" t="e">
        <f>#REF!+E12+E16+E20+E24+E28+#REF!+E32+E36+E40+E44+E50+#REF!+#REF!+#REF!+#REF!+#REF!+#REF!+#REF!+#REF!+#REF!+E8+#REF!</f>
        <v>#REF!</v>
      </c>
      <c r="F68" s="2169" t="e">
        <f>#REF!+F12+F16+F20+F24+F28+#REF!+F32+F36+F40+F44+F50+#REF!+#REF!+#REF!</f>
        <v>#REF!</v>
      </c>
      <c r="G68" s="2169" t="e">
        <f>#REF!+G12+G16+G20+G24+G28+#REF!+G32+G36+G40+G44+G50+#REF!+#REF!</f>
        <v>#REF!</v>
      </c>
      <c r="H68" s="2169" t="e">
        <f>#REF!+H12+H16+H20+H24+H28+#REF!+H32+H36+H40+H44+H50+#REF!+#REF!+H8</f>
        <v>#REF!</v>
      </c>
      <c r="I68" s="2169" t="e">
        <f>#REF!+I12+I16+I20+I24+I28+#REF!+I32+I36+I40+I44+I50+#REF!+#REF!</f>
        <v>#REF!</v>
      </c>
      <c r="J68" s="2169" t="e">
        <f>#REF!+J12+J16+J20+J24+J28+#REF!+J32+J36+J40+J44+J50+#REF!+#REF!</f>
        <v>#REF!</v>
      </c>
      <c r="K68" s="2170" t="e">
        <f>#REF!+K12+K16+K20+K24+K28+#REF!+K32+K36+K40+K44+K50+#REF!+#REF!+K8</f>
        <v>#REF!</v>
      </c>
      <c r="L68" s="2171" t="e">
        <f>#REF!+L12+L16+L20+L24+L28+#REF!+L32+L36+L40+L44+L50+#REF!+#REF!+L8+L48+#REF!+#REF!+#REF!+#REF!+#REF!+#REF!+#REF!+#REF!</f>
        <v>#REF!</v>
      </c>
      <c r="M68" s="809"/>
      <c r="N68" s="820"/>
    </row>
    <row r="69" spans="1:20" s="778" customFormat="1" ht="0.15" customHeight="1" thickBot="1" x14ac:dyDescent="0.4">
      <c r="A69" s="821"/>
      <c r="B69" s="817"/>
      <c r="C69" s="2172"/>
      <c r="D69" s="2172"/>
      <c r="E69" s="2172"/>
      <c r="F69" s="2172"/>
      <c r="G69" s="2172"/>
      <c r="H69" s="2172"/>
      <c r="I69" s="2172"/>
      <c r="J69" s="2172"/>
      <c r="K69" s="2173"/>
      <c r="L69" s="2174"/>
      <c r="M69" s="822"/>
      <c r="N69" s="823"/>
      <c r="O69" s="781"/>
      <c r="P69" s="781"/>
      <c r="Q69" s="779"/>
      <c r="R69" s="779"/>
      <c r="S69" s="779"/>
      <c r="T69" s="779"/>
    </row>
    <row r="70" spans="1:20" ht="15" customHeight="1" x14ac:dyDescent="0.35">
      <c r="A70" s="487"/>
      <c r="B70" s="488"/>
      <c r="C70" s="2175"/>
      <c r="D70" s="2175"/>
      <c r="E70" s="2175"/>
      <c r="F70" s="2175"/>
      <c r="G70" s="2175"/>
      <c r="H70" s="2175"/>
      <c r="I70" s="2175"/>
      <c r="J70" s="2175"/>
      <c r="K70" s="2176"/>
      <c r="L70" s="2177"/>
      <c r="M70" s="328"/>
      <c r="N70" s="327"/>
      <c r="O70" s="266"/>
      <c r="P70" s="266"/>
    </row>
    <row r="71" spans="1:20" ht="15" customHeight="1" thickBot="1" x14ac:dyDescent="0.4">
      <c r="A71" s="487"/>
      <c r="B71" s="488"/>
      <c r="C71" s="2178"/>
      <c r="D71" s="2178"/>
      <c r="E71" s="2178"/>
      <c r="F71" s="2178"/>
      <c r="G71" s="2178"/>
      <c r="H71" s="2178"/>
      <c r="I71" s="2178"/>
      <c r="J71" s="2178"/>
      <c r="K71" s="2178"/>
      <c r="L71" s="2179"/>
      <c r="M71" s="328"/>
      <c r="N71" s="327"/>
      <c r="O71" s="266"/>
      <c r="P71" s="266"/>
    </row>
    <row r="72" spans="1:20" ht="15" customHeight="1" thickBot="1" x14ac:dyDescent="0.4">
      <c r="A72" s="2570" t="s">
        <v>179</v>
      </c>
      <c r="B72" s="2571"/>
      <c r="C72" s="2180"/>
      <c r="D72" s="2180"/>
      <c r="E72" s="2180"/>
      <c r="F72" s="2180"/>
      <c r="G72" s="2180"/>
      <c r="H72" s="2180"/>
      <c r="I72" s="2180"/>
      <c r="J72" s="2180"/>
      <c r="K72" s="2181"/>
      <c r="L72" s="2182"/>
      <c r="M72" s="328"/>
      <c r="N72" s="327"/>
      <c r="O72" s="266"/>
      <c r="P72" s="266"/>
    </row>
    <row r="73" spans="1:20" ht="18" x14ac:dyDescent="0.25">
      <c r="A73" s="697" t="s">
        <v>243</v>
      </c>
      <c r="B73" s="400" t="s">
        <v>422</v>
      </c>
      <c r="C73" s="1292"/>
      <c r="D73" s="1292"/>
      <c r="E73" s="1292"/>
      <c r="F73" s="1292"/>
      <c r="G73" s="1292"/>
      <c r="H73" s="1292"/>
      <c r="I73" s="1292"/>
      <c r="J73" s="1292"/>
      <c r="K73" s="2122"/>
      <c r="L73" s="2125"/>
      <c r="M73"/>
      <c r="N73"/>
      <c r="O73"/>
      <c r="P73"/>
      <c r="Q73"/>
      <c r="R73"/>
      <c r="S73"/>
      <c r="T73"/>
    </row>
    <row r="74" spans="1:20" ht="15" customHeight="1" thickBot="1" x14ac:dyDescent="0.3">
      <c r="A74" s="750"/>
      <c r="B74" s="381" t="s">
        <v>356</v>
      </c>
      <c r="C74" s="1315"/>
      <c r="D74" s="1315"/>
      <c r="E74" s="1315"/>
      <c r="F74" s="1315">
        <f>SUM('5.a.sz. melléklet'!F23)</f>
        <v>1364000</v>
      </c>
      <c r="G74" s="1315"/>
      <c r="H74" s="1315"/>
      <c r="I74" s="1315"/>
      <c r="J74" s="1315"/>
      <c r="K74" s="2116"/>
      <c r="L74" s="2117">
        <f>SUM(C74:K74)</f>
        <v>1364000</v>
      </c>
      <c r="M74"/>
      <c r="N74"/>
      <c r="O74"/>
      <c r="P74"/>
      <c r="Q74"/>
      <c r="R74"/>
      <c r="S74"/>
      <c r="T74"/>
    </row>
    <row r="75" spans="1:20" ht="0.15" customHeight="1" thickBot="1" x14ac:dyDescent="0.3">
      <c r="A75" s="1175"/>
      <c r="B75" s="1176" t="s">
        <v>357</v>
      </c>
      <c r="C75" s="1281"/>
      <c r="D75" s="1281"/>
      <c r="E75" s="1281"/>
      <c r="F75" s="1281">
        <f>SUM('5.a.sz. melléklet'!F24)</f>
        <v>1372086</v>
      </c>
      <c r="G75" s="1281"/>
      <c r="H75" s="1281"/>
      <c r="I75" s="1281"/>
      <c r="J75" s="1281"/>
      <c r="K75" s="2118"/>
      <c r="L75" s="2119">
        <f>SUM(F75:K75)</f>
        <v>1372086</v>
      </c>
      <c r="M75"/>
      <c r="N75"/>
      <c r="O75"/>
      <c r="P75"/>
      <c r="Q75"/>
      <c r="R75"/>
      <c r="S75"/>
      <c r="T75"/>
    </row>
    <row r="76" spans="1:20" s="778" customFormat="1" ht="0.15" customHeight="1" x14ac:dyDescent="0.25">
      <c r="A76" s="833"/>
      <c r="B76" s="794" t="s">
        <v>355</v>
      </c>
      <c r="C76" s="2120"/>
      <c r="D76" s="2120"/>
      <c r="E76" s="2120"/>
      <c r="F76" s="2120"/>
      <c r="G76" s="2120"/>
      <c r="H76" s="2120"/>
      <c r="I76" s="2120"/>
      <c r="J76" s="2120"/>
      <c r="K76" s="1921"/>
      <c r="L76" s="2124">
        <f>SUM(F76:K76)</f>
        <v>0</v>
      </c>
    </row>
    <row r="77" spans="1:20" ht="18" x14ac:dyDescent="0.25">
      <c r="A77" s="399" t="s">
        <v>251</v>
      </c>
      <c r="B77" s="400" t="s">
        <v>252</v>
      </c>
      <c r="C77" s="1292"/>
      <c r="D77" s="1292"/>
      <c r="E77" s="1292"/>
      <c r="F77" s="1292"/>
      <c r="G77" s="1292"/>
      <c r="H77" s="1292"/>
      <c r="I77" s="1292"/>
      <c r="J77" s="1292"/>
      <c r="K77" s="2122"/>
      <c r="L77" s="2125"/>
      <c r="M77"/>
      <c r="N77"/>
      <c r="O77"/>
      <c r="P77"/>
      <c r="Q77"/>
      <c r="R77"/>
      <c r="S77"/>
      <c r="T77"/>
    </row>
    <row r="78" spans="1:20" ht="15" customHeight="1" thickBot="1" x14ac:dyDescent="0.3">
      <c r="A78" s="748"/>
      <c r="B78" s="381" t="s">
        <v>356</v>
      </c>
      <c r="C78" s="1315"/>
      <c r="D78" s="1315">
        <f>SUM('5.a.sz. melléklet'!D27)</f>
        <v>5043000</v>
      </c>
      <c r="E78" s="1315"/>
      <c r="F78" s="1315">
        <f>SUM('5.a.sz. melléklet'!F27)</f>
        <v>7320000</v>
      </c>
      <c r="G78" s="1315"/>
      <c r="H78" s="1315"/>
      <c r="I78" s="1315"/>
      <c r="J78" s="1315"/>
      <c r="K78" s="2116"/>
      <c r="L78" s="2117">
        <f>SUM(C78:K78)</f>
        <v>12363000</v>
      </c>
      <c r="M78"/>
      <c r="N78"/>
      <c r="O78"/>
      <c r="P78"/>
      <c r="Q78"/>
      <c r="R78"/>
      <c r="S78"/>
      <c r="T78"/>
    </row>
    <row r="79" spans="1:20" ht="0.15" customHeight="1" thickBot="1" x14ac:dyDescent="0.3">
      <c r="A79" s="1177"/>
      <c r="B79" s="1176" t="s">
        <v>357</v>
      </c>
      <c r="C79" s="1281"/>
      <c r="D79" s="1281">
        <f>SUM('5.a.sz. melléklet'!D28)</f>
        <v>4662</v>
      </c>
      <c r="E79" s="1281"/>
      <c r="F79" s="1281">
        <f>SUM('5.a.sz. melléklet'!F28)</f>
        <v>7320</v>
      </c>
      <c r="G79" s="1281"/>
      <c r="H79" s="1281"/>
      <c r="I79" s="1281"/>
      <c r="J79" s="1281"/>
      <c r="K79" s="2118"/>
      <c r="L79" s="2119">
        <f>SUM(C79:K79)</f>
        <v>11982</v>
      </c>
      <c r="M79"/>
      <c r="N79"/>
      <c r="O79"/>
      <c r="P79"/>
      <c r="Q79"/>
      <c r="R79"/>
      <c r="S79"/>
      <c r="T79"/>
    </row>
    <row r="80" spans="1:20" s="778" customFormat="1" ht="0.15" customHeight="1" x14ac:dyDescent="0.25">
      <c r="A80" s="832"/>
      <c r="B80" s="794" t="s">
        <v>355</v>
      </c>
      <c r="C80" s="2120"/>
      <c r="D80" s="2120"/>
      <c r="E80" s="2120"/>
      <c r="F80" s="2120"/>
      <c r="G80" s="2120"/>
      <c r="H80" s="2120"/>
      <c r="I80" s="2120"/>
      <c r="J80" s="2120"/>
      <c r="K80" s="1921"/>
      <c r="L80" s="2124">
        <f>SUM(C80:K80)</f>
        <v>0</v>
      </c>
    </row>
    <row r="81" spans="1:20" s="1409" customFormat="1" ht="23.25" customHeight="1" x14ac:dyDescent="0.25">
      <c r="A81" s="2107" t="s">
        <v>274</v>
      </c>
      <c r="B81" s="2108" t="s">
        <v>523</v>
      </c>
      <c r="C81" s="2031"/>
      <c r="D81" s="2031"/>
      <c r="E81" s="2031"/>
      <c r="F81" s="2031"/>
      <c r="G81" s="2031"/>
      <c r="H81" s="2031"/>
      <c r="I81" s="2031"/>
      <c r="J81" s="2031"/>
      <c r="K81" s="2183"/>
      <c r="L81" s="2184"/>
    </row>
    <row r="82" spans="1:20" s="1409" customFormat="1" ht="15" customHeight="1" thickBot="1" x14ac:dyDescent="0.3">
      <c r="A82" s="2103"/>
      <c r="B82" s="2104" t="s">
        <v>356</v>
      </c>
      <c r="C82" s="1999">
        <f>SUM('5.a.sz. melléklet'!C31)</f>
        <v>2134000</v>
      </c>
      <c r="D82" s="1999"/>
      <c r="E82" s="1999"/>
      <c r="F82" s="1999"/>
      <c r="G82" s="1999"/>
      <c r="H82" s="1999"/>
      <c r="I82" s="1999"/>
      <c r="J82" s="1999"/>
      <c r="K82" s="2138"/>
      <c r="L82" s="2139">
        <f>SUM(C82:K82)</f>
        <v>2134000</v>
      </c>
    </row>
    <row r="83" spans="1:20" ht="15" customHeight="1" x14ac:dyDescent="0.25">
      <c r="A83" s="402" t="s">
        <v>253</v>
      </c>
      <c r="B83" s="763" t="s">
        <v>254</v>
      </c>
      <c r="C83" s="1278"/>
      <c r="D83" s="1278"/>
      <c r="E83" s="1278"/>
      <c r="F83" s="1278"/>
      <c r="G83" s="1278"/>
      <c r="H83" s="1278"/>
      <c r="I83" s="1278"/>
      <c r="J83" s="1278"/>
      <c r="K83" s="1920"/>
      <c r="L83" s="2125"/>
      <c r="M83"/>
      <c r="N83"/>
      <c r="O83"/>
      <c r="P83"/>
      <c r="Q83"/>
      <c r="R83"/>
      <c r="S83"/>
      <c r="T83"/>
    </row>
    <row r="84" spans="1:20" ht="15" customHeight="1" thickBot="1" x14ac:dyDescent="0.3">
      <c r="A84" s="804"/>
      <c r="B84" s="805" t="s">
        <v>356</v>
      </c>
      <c r="C84" s="1290">
        <f>SUM('5.a.sz. melléklet'!C33)</f>
        <v>1300000</v>
      </c>
      <c r="D84" s="1290"/>
      <c r="E84" s="1290"/>
      <c r="F84" s="1290"/>
      <c r="G84" s="1290"/>
      <c r="H84" s="1290"/>
      <c r="I84" s="1290"/>
      <c r="J84" s="1290"/>
      <c r="K84" s="2185"/>
      <c r="L84" s="2186">
        <f>SUM(C84:K84)</f>
        <v>1300000</v>
      </c>
      <c r="M84"/>
      <c r="N84"/>
      <c r="O84"/>
      <c r="P84"/>
      <c r="Q84"/>
      <c r="R84"/>
      <c r="S84"/>
      <c r="T84"/>
    </row>
    <row r="85" spans="1:20" ht="0.15" customHeight="1" thickBot="1" x14ac:dyDescent="0.3">
      <c r="A85" s="748"/>
      <c r="B85" s="381" t="s">
        <v>357</v>
      </c>
      <c r="C85" s="1315">
        <f>SUM('5.a.sz. melléklet'!C34)</f>
        <v>1300000</v>
      </c>
      <c r="D85" s="1315"/>
      <c r="E85" s="1315"/>
      <c r="F85" s="1315"/>
      <c r="G85" s="1315"/>
      <c r="H85" s="1315"/>
      <c r="I85" s="1315"/>
      <c r="J85" s="1315"/>
      <c r="K85" s="2116"/>
      <c r="L85" s="2117">
        <f>SUM(C85:K85)</f>
        <v>1300000</v>
      </c>
      <c r="M85"/>
      <c r="N85"/>
      <c r="O85"/>
      <c r="P85"/>
      <c r="Q85"/>
      <c r="R85"/>
      <c r="S85"/>
      <c r="T85"/>
    </row>
    <row r="86" spans="1:20" s="777" customFormat="1" ht="0.15" customHeight="1" thickBot="1" x14ac:dyDescent="0.35">
      <c r="A86" s="790"/>
      <c r="B86" s="794" t="s">
        <v>355</v>
      </c>
      <c r="C86" s="2120"/>
      <c r="D86" s="2120"/>
      <c r="E86" s="2120"/>
      <c r="F86" s="2120"/>
      <c r="G86" s="2120"/>
      <c r="H86" s="2120"/>
      <c r="I86" s="2120"/>
      <c r="J86" s="2120"/>
      <c r="K86" s="1921"/>
      <c r="L86" s="2124">
        <f>SUM(C86:K86)</f>
        <v>0</v>
      </c>
      <c r="M86" s="824"/>
      <c r="N86" s="784"/>
    </row>
    <row r="87" spans="1:20" ht="27" customHeight="1" x14ac:dyDescent="0.25">
      <c r="A87" s="2578" t="s">
        <v>371</v>
      </c>
      <c r="B87" s="2579"/>
      <c r="C87" s="2163"/>
      <c r="D87" s="2163"/>
      <c r="E87" s="2163"/>
      <c r="F87" s="2163"/>
      <c r="G87" s="2163"/>
      <c r="H87" s="2163"/>
      <c r="I87" s="2163"/>
      <c r="J87" s="2163"/>
      <c r="K87" s="2164"/>
      <c r="L87" s="2115"/>
      <c r="M87" s="326"/>
      <c r="N87" s="327"/>
    </row>
    <row r="88" spans="1:20" ht="15" customHeight="1" thickBot="1" x14ac:dyDescent="0.3">
      <c r="A88" s="838"/>
      <c r="B88" s="403" t="s">
        <v>356</v>
      </c>
      <c r="C88" s="2165">
        <f>C78+C84+C74+C82</f>
        <v>3434000</v>
      </c>
      <c r="D88" s="2165">
        <f t="shared" ref="D88:L88" si="1">D78+D84+D74+D82</f>
        <v>5043000</v>
      </c>
      <c r="E88" s="2165">
        <f t="shared" si="1"/>
        <v>0</v>
      </c>
      <c r="F88" s="2165">
        <f t="shared" si="1"/>
        <v>8684000</v>
      </c>
      <c r="G88" s="2165">
        <f t="shared" si="1"/>
        <v>0</v>
      </c>
      <c r="H88" s="2165">
        <f t="shared" si="1"/>
        <v>0</v>
      </c>
      <c r="I88" s="2165">
        <f t="shared" si="1"/>
        <v>0</v>
      </c>
      <c r="J88" s="2165">
        <f t="shared" si="1"/>
        <v>0</v>
      </c>
      <c r="K88" s="2165">
        <f t="shared" si="1"/>
        <v>0</v>
      </c>
      <c r="L88" s="2165">
        <f t="shared" si="1"/>
        <v>17161000</v>
      </c>
      <c r="M88" s="326"/>
      <c r="N88" s="327"/>
    </row>
    <row r="89" spans="1:20" ht="0.15" customHeight="1" thickBot="1" x14ac:dyDescent="0.3">
      <c r="A89" s="1191"/>
      <c r="B89" s="1192" t="s">
        <v>357</v>
      </c>
      <c r="C89" s="2187">
        <f>C79+C85</f>
        <v>1300000</v>
      </c>
      <c r="D89" s="2187">
        <f>D79+D85</f>
        <v>4662</v>
      </c>
      <c r="E89" s="2187" t="e">
        <f>E79+E85+#REF!</f>
        <v>#REF!</v>
      </c>
      <c r="F89" s="2187">
        <f>F79+F85+F75</f>
        <v>1379406</v>
      </c>
      <c r="G89" s="2187">
        <f t="shared" ref="G89:K90" si="2">G79+G85</f>
        <v>0</v>
      </c>
      <c r="H89" s="2187">
        <f t="shared" si="2"/>
        <v>0</v>
      </c>
      <c r="I89" s="2187">
        <f t="shared" si="2"/>
        <v>0</v>
      </c>
      <c r="J89" s="2187">
        <f t="shared" si="2"/>
        <v>0</v>
      </c>
      <c r="K89" s="2188">
        <f t="shared" si="2"/>
        <v>0</v>
      </c>
      <c r="L89" s="2189" t="e">
        <f>L79+L85+L75+#REF!</f>
        <v>#REF!</v>
      </c>
      <c r="M89" s="326"/>
      <c r="N89" s="327"/>
    </row>
    <row r="90" spans="1:20" s="778" customFormat="1" ht="0.15" customHeight="1" x14ac:dyDescent="0.25">
      <c r="A90" s="836"/>
      <c r="B90" s="794" t="s">
        <v>355</v>
      </c>
      <c r="C90" s="2190">
        <f>C80+C86</f>
        <v>0</v>
      </c>
      <c r="D90" s="2190">
        <f>D80+D86</f>
        <v>0</v>
      </c>
      <c r="E90" s="2190" t="e">
        <f>E80+E86+#REF!</f>
        <v>#REF!</v>
      </c>
      <c r="F90" s="2191">
        <f>F80+F86+F76</f>
        <v>0</v>
      </c>
      <c r="G90" s="2190">
        <f t="shared" si="2"/>
        <v>0</v>
      </c>
      <c r="H90" s="2190">
        <f t="shared" si="2"/>
        <v>0</v>
      </c>
      <c r="I90" s="2190">
        <f t="shared" si="2"/>
        <v>0</v>
      </c>
      <c r="J90" s="2190">
        <f t="shared" si="2"/>
        <v>0</v>
      </c>
      <c r="K90" s="2192">
        <f t="shared" si="2"/>
        <v>0</v>
      </c>
      <c r="L90" s="2193" t="e">
        <f>L80+L86+L76+#REF!+#REF!</f>
        <v>#REF!</v>
      </c>
      <c r="M90" s="826"/>
      <c r="N90" s="823"/>
      <c r="O90" s="779"/>
      <c r="P90" s="779"/>
      <c r="Q90" s="779"/>
      <c r="R90" s="779"/>
      <c r="S90" s="779"/>
      <c r="T90" s="779"/>
    </row>
    <row r="91" spans="1:20" s="778" customFormat="1" ht="15" customHeight="1" x14ac:dyDescent="0.25">
      <c r="A91" s="825"/>
      <c r="B91" s="815"/>
      <c r="C91" s="2169"/>
      <c r="D91" s="2169"/>
      <c r="E91" s="2169"/>
      <c r="F91" s="2169"/>
      <c r="G91" s="2169"/>
      <c r="H91" s="2169"/>
      <c r="I91" s="2169"/>
      <c r="J91" s="2169"/>
      <c r="K91" s="2170"/>
      <c r="L91" s="2171"/>
      <c r="M91" s="826"/>
      <c r="N91" s="823"/>
      <c r="O91" s="779"/>
      <c r="P91" s="779"/>
      <c r="Q91" s="779"/>
      <c r="R91" s="779"/>
      <c r="S91" s="779"/>
      <c r="T91" s="779"/>
    </row>
    <row r="92" spans="1:20" ht="21.75" customHeight="1" x14ac:dyDescent="0.25">
      <c r="A92" s="2580" t="s">
        <v>372</v>
      </c>
      <c r="B92" s="2581"/>
      <c r="C92" s="2194"/>
      <c r="D92" s="2194"/>
      <c r="E92" s="2194"/>
      <c r="F92" s="2194"/>
      <c r="G92" s="2194"/>
      <c r="H92" s="2194"/>
      <c r="I92" s="2194"/>
      <c r="J92" s="2194"/>
      <c r="K92" s="2195"/>
      <c r="L92" s="2125"/>
      <c r="M92" s="326"/>
      <c r="N92" s="327"/>
    </row>
    <row r="93" spans="1:20" ht="15" customHeight="1" thickBot="1" x14ac:dyDescent="0.3">
      <c r="A93" s="838"/>
      <c r="B93" s="403" t="s">
        <v>356</v>
      </c>
      <c r="C93" s="2165">
        <f t="shared" ref="C93:L93" si="3">C66+C88</f>
        <v>89899000</v>
      </c>
      <c r="D93" s="2165">
        <f t="shared" si="3"/>
        <v>580834000</v>
      </c>
      <c r="E93" s="2165">
        <f t="shared" si="3"/>
        <v>129565489</v>
      </c>
      <c r="F93" s="2165">
        <f t="shared" si="3"/>
        <v>20021600</v>
      </c>
      <c r="G93" s="2165">
        <f t="shared" si="3"/>
        <v>772274574</v>
      </c>
      <c r="H93" s="2165">
        <f t="shared" si="3"/>
        <v>0</v>
      </c>
      <c r="I93" s="2165">
        <f t="shared" si="3"/>
        <v>217933000</v>
      </c>
      <c r="J93" s="2165">
        <f t="shared" si="3"/>
        <v>100000000</v>
      </c>
      <c r="K93" s="2196">
        <f t="shared" si="3"/>
        <v>300000000</v>
      </c>
      <c r="L93" s="2197">
        <f t="shared" si="3"/>
        <v>2210527663</v>
      </c>
      <c r="M93" s="326"/>
      <c r="N93" s="327"/>
    </row>
    <row r="94" spans="1:20" ht="0.15" customHeight="1" thickBot="1" x14ac:dyDescent="0.3">
      <c r="A94" s="1191"/>
      <c r="B94" s="1192" t="s">
        <v>357</v>
      </c>
      <c r="C94" s="1193" t="e">
        <f t="shared" ref="C94:K94" si="4">C67+C89</f>
        <v>#REF!</v>
      </c>
      <c r="D94" s="1193" t="e">
        <f t="shared" si="4"/>
        <v>#REF!</v>
      </c>
      <c r="E94" s="1193" t="e">
        <f t="shared" si="4"/>
        <v>#REF!</v>
      </c>
      <c r="F94" s="1193" t="e">
        <f t="shared" si="4"/>
        <v>#REF!</v>
      </c>
      <c r="G94" s="1193" t="e">
        <f t="shared" si="4"/>
        <v>#REF!</v>
      </c>
      <c r="H94" s="1193" t="e">
        <f t="shared" si="4"/>
        <v>#REF!</v>
      </c>
      <c r="I94" s="1193" t="e">
        <f t="shared" si="4"/>
        <v>#REF!</v>
      </c>
      <c r="J94" s="1193" t="e">
        <f t="shared" si="4"/>
        <v>#REF!</v>
      </c>
      <c r="K94" s="1194" t="e">
        <f t="shared" si="4"/>
        <v>#REF!</v>
      </c>
      <c r="L94" s="1195" t="e">
        <f>SUM(L89,L67)</f>
        <v>#REF!</v>
      </c>
      <c r="M94" s="326">
        <v>1642801</v>
      </c>
      <c r="N94" s="327" t="e">
        <f>SUM(C94:K94)</f>
        <v>#REF!</v>
      </c>
    </row>
    <row r="95" spans="1:20" s="778" customFormat="1" ht="1.5" customHeight="1" x14ac:dyDescent="0.25">
      <c r="A95" s="836"/>
      <c r="B95" s="794" t="s">
        <v>355</v>
      </c>
      <c r="C95" s="837" t="e">
        <f t="shared" ref="C95:K95" si="5">C68+C90</f>
        <v>#REF!</v>
      </c>
      <c r="D95" s="837" t="e">
        <f t="shared" si="5"/>
        <v>#REF!</v>
      </c>
      <c r="E95" s="837" t="e">
        <f t="shared" si="5"/>
        <v>#REF!</v>
      </c>
      <c r="F95" s="837" t="e">
        <f t="shared" si="5"/>
        <v>#REF!</v>
      </c>
      <c r="G95" s="837" t="e">
        <f t="shared" si="5"/>
        <v>#REF!</v>
      </c>
      <c r="H95" s="837" t="e">
        <f t="shared" si="5"/>
        <v>#REF!</v>
      </c>
      <c r="I95" s="837" t="e">
        <f t="shared" si="5"/>
        <v>#REF!</v>
      </c>
      <c r="J95" s="837" t="e">
        <f t="shared" si="5"/>
        <v>#REF!</v>
      </c>
      <c r="K95" s="844" t="e">
        <f t="shared" si="5"/>
        <v>#REF!</v>
      </c>
      <c r="L95" s="846" t="e">
        <f>SUM(L90,L68)</f>
        <v>#REF!</v>
      </c>
      <c r="M95" s="826"/>
      <c r="N95" s="823"/>
      <c r="O95" s="779"/>
      <c r="P95" s="779"/>
      <c r="Q95" s="779"/>
      <c r="R95" s="779"/>
      <c r="S95" s="779"/>
      <c r="T95" s="779"/>
    </row>
    <row r="96" spans="1:20" s="778" customFormat="1" ht="15" hidden="1" customHeight="1" thickBot="1" x14ac:dyDescent="0.3">
      <c r="A96" s="825"/>
      <c r="B96" s="815" t="s">
        <v>427</v>
      </c>
      <c r="C96" s="827" t="e">
        <f>SUM(C95/C94)</f>
        <v>#REF!</v>
      </c>
      <c r="D96" s="827" t="e">
        <f t="shared" ref="D96:L96" si="6">SUM(D95/D94)</f>
        <v>#REF!</v>
      </c>
      <c r="E96" s="827" t="e">
        <f t="shared" si="6"/>
        <v>#REF!</v>
      </c>
      <c r="F96" s="827" t="e">
        <f t="shared" si="6"/>
        <v>#REF!</v>
      </c>
      <c r="G96" s="827" t="e">
        <f t="shared" si="6"/>
        <v>#REF!</v>
      </c>
      <c r="H96" s="827" t="e">
        <f t="shared" si="6"/>
        <v>#REF!</v>
      </c>
      <c r="I96" s="827" t="e">
        <f t="shared" si="6"/>
        <v>#REF!</v>
      </c>
      <c r="J96" s="827" t="e">
        <f t="shared" si="6"/>
        <v>#REF!</v>
      </c>
      <c r="K96" s="845" t="e">
        <f t="shared" si="6"/>
        <v>#REF!</v>
      </c>
      <c r="L96" s="847" t="e">
        <f t="shared" si="6"/>
        <v>#REF!</v>
      </c>
      <c r="M96" s="826"/>
      <c r="N96" s="823"/>
      <c r="O96" s="779"/>
      <c r="P96" s="779"/>
      <c r="Q96" s="779"/>
      <c r="R96" s="779"/>
      <c r="S96" s="779"/>
      <c r="T96" s="779"/>
    </row>
    <row r="97" spans="1:20" ht="15" customHeight="1" x14ac:dyDescent="0.25">
      <c r="A97" s="325"/>
      <c r="B97" s="404"/>
      <c r="D97" s="326"/>
      <c r="E97" s="326"/>
      <c r="F97" s="326"/>
      <c r="G97" s="326"/>
      <c r="H97" s="326"/>
      <c r="I97" s="326"/>
      <c r="J97" s="326"/>
      <c r="K97" s="326"/>
      <c r="L97" s="326"/>
      <c r="M97" s="326"/>
      <c r="N97" s="327"/>
    </row>
    <row r="98" spans="1:20" ht="62.25" customHeight="1" x14ac:dyDescent="0.25">
      <c r="A98" s="321" t="s">
        <v>224</v>
      </c>
      <c r="B98" s="164" t="s">
        <v>225</v>
      </c>
      <c r="C98" s="2479" t="s">
        <v>9</v>
      </c>
      <c r="D98" s="2480" t="s">
        <v>226</v>
      </c>
      <c r="E98" s="2480" t="s">
        <v>106</v>
      </c>
      <c r="F98" s="2480" t="s">
        <v>227</v>
      </c>
      <c r="G98" s="2480" t="s">
        <v>125</v>
      </c>
      <c r="H98" s="2480" t="s">
        <v>124</v>
      </c>
      <c r="I98" s="2480" t="s">
        <v>228</v>
      </c>
      <c r="J98" s="2480" t="s">
        <v>304</v>
      </c>
      <c r="K98" s="2480" t="s">
        <v>107</v>
      </c>
      <c r="L98" s="2480" t="s">
        <v>144</v>
      </c>
      <c r="M98" s="2480" t="s">
        <v>58</v>
      </c>
      <c r="N98" s="2481" t="s">
        <v>21</v>
      </c>
      <c r="S98"/>
      <c r="T98"/>
    </row>
    <row r="99" spans="1:20" s="138" customFormat="1" ht="21" customHeight="1" thickBot="1" x14ac:dyDescent="0.2">
      <c r="A99" s="2574" t="s">
        <v>176</v>
      </c>
      <c r="B99" s="2575"/>
    </row>
    <row r="100" spans="1:20" s="138" customFormat="1" ht="15" customHeight="1" x14ac:dyDescent="0.15">
      <c r="A100" s="540" t="s">
        <v>230</v>
      </c>
      <c r="B100" s="699" t="s">
        <v>2</v>
      </c>
      <c r="C100" s="2198"/>
      <c r="D100" s="2198"/>
      <c r="E100" s="2198"/>
      <c r="F100" s="2198"/>
      <c r="G100" s="2198"/>
      <c r="H100" s="2198"/>
      <c r="I100" s="2198"/>
      <c r="J100" s="2198"/>
      <c r="K100" s="2198"/>
      <c r="L100" s="2198"/>
      <c r="M100" s="2199"/>
      <c r="N100" s="2200"/>
    </row>
    <row r="101" spans="1:20" s="138" customFormat="1" ht="15" customHeight="1" thickBot="1" x14ac:dyDescent="0.2">
      <c r="A101" s="749"/>
      <c r="B101" s="410" t="s">
        <v>356</v>
      </c>
      <c r="C101" s="2201">
        <f>SUM('6. sz.melléklet'!C6)</f>
        <v>27628000</v>
      </c>
      <c r="D101" s="2201">
        <f>SUM('6. sz.melléklet'!D6)</f>
        <v>7500000</v>
      </c>
      <c r="E101" s="2201">
        <f>SUM('6. sz.melléklet'!E6)</f>
        <v>56460000</v>
      </c>
      <c r="F101" s="2201"/>
      <c r="G101" s="2201"/>
      <c r="H101" s="2201">
        <f>SUM('6. sz.melléklet'!H6)</f>
        <v>3330000</v>
      </c>
      <c r="I101" s="2201">
        <f>SUM('6. sz.melléklet'!I6)</f>
        <v>18354270</v>
      </c>
      <c r="J101" s="2201">
        <f>SUM('6. sz.melléklet'!J6)</f>
        <v>0</v>
      </c>
      <c r="K101" s="2201">
        <f>SUM('1.sz. melléklet'!B27)</f>
        <v>3461428</v>
      </c>
      <c r="L101" s="2201"/>
      <c r="M101" s="2202"/>
      <c r="N101" s="2203">
        <f>SUM(C101:M101)</f>
        <v>116733698</v>
      </c>
    </row>
    <row r="102" spans="1:20" s="138" customFormat="1" ht="0.15" customHeight="1" thickBot="1" x14ac:dyDescent="0.2">
      <c r="A102" s="1205"/>
      <c r="B102" s="1206" t="s">
        <v>357</v>
      </c>
      <c r="C102" s="2204">
        <f>SUM('6. sz.melléklet'!C7)</f>
        <v>27628000</v>
      </c>
      <c r="D102" s="2204">
        <f>SUM('6. sz.melléklet'!D7)</f>
        <v>7500000</v>
      </c>
      <c r="E102" s="2204">
        <f>SUM('6. sz.melléklet'!E7)</f>
        <v>26760</v>
      </c>
      <c r="F102" s="2204"/>
      <c r="G102" s="2204"/>
      <c r="H102" s="2204"/>
      <c r="I102" s="2204">
        <f>SUM('6. sz.melléklet'!I7)</f>
        <v>18354270</v>
      </c>
      <c r="J102" s="2204">
        <f>SUM('6. sz.melléklet'!J7)</f>
        <v>22764</v>
      </c>
      <c r="K102" s="2204">
        <f>SUM('6. sz.melléklet'!K7)</f>
        <v>42432</v>
      </c>
      <c r="L102" s="2204">
        <f>SUM('6. sz.melléklet'!L7)</f>
        <v>20400</v>
      </c>
      <c r="M102" s="2205"/>
      <c r="N102" s="2206">
        <f>SUM(C102:M102)</f>
        <v>53594626</v>
      </c>
    </row>
    <row r="103" spans="1:20" s="779" customFormat="1" ht="0.15" customHeight="1" x14ac:dyDescent="0.15">
      <c r="A103" s="840"/>
      <c r="B103" s="841" t="s">
        <v>355</v>
      </c>
      <c r="C103" s="2207"/>
      <c r="D103" s="2207"/>
      <c r="E103" s="2207"/>
      <c r="F103" s="2207"/>
      <c r="G103" s="2207"/>
      <c r="H103" s="2207"/>
      <c r="I103" s="2207"/>
      <c r="J103" s="2207"/>
      <c r="K103" s="2207"/>
      <c r="L103" s="2207"/>
      <c r="M103" s="2208"/>
      <c r="N103" s="2209">
        <f t="shared" ref="N103" si="7">SUM(C103:M103)</f>
        <v>0</v>
      </c>
    </row>
    <row r="104" spans="1:20" s="138" customFormat="1" ht="15" customHeight="1" x14ac:dyDescent="0.15">
      <c r="A104" s="406" t="s">
        <v>241</v>
      </c>
      <c r="B104" s="401" t="s">
        <v>248</v>
      </c>
      <c r="C104" s="2210"/>
      <c r="D104" s="2210"/>
      <c r="E104" s="2210"/>
      <c r="F104" s="2210"/>
      <c r="G104" s="2210"/>
      <c r="H104" s="2210"/>
      <c r="I104" s="2210"/>
      <c r="J104" s="2210"/>
      <c r="K104" s="2210"/>
      <c r="L104" s="2210"/>
      <c r="M104" s="2211"/>
      <c r="N104" s="2212"/>
    </row>
    <row r="105" spans="1:20" s="138" customFormat="1" ht="15" customHeight="1" thickBot="1" x14ac:dyDescent="0.2">
      <c r="A105" s="749"/>
      <c r="B105" s="410" t="s">
        <v>356</v>
      </c>
      <c r="C105" s="2201">
        <f>SUM('6. sz.melléklet'!C10)</f>
        <v>0</v>
      </c>
      <c r="D105" s="2201">
        <f>SUM('6. sz.melléklet'!D10)</f>
        <v>0</v>
      </c>
      <c r="E105" s="2201">
        <f>SUM('6. sz.melléklet'!E10)</f>
        <v>24358000</v>
      </c>
      <c r="F105" s="2201"/>
      <c r="G105" s="2201">
        <f>SUM('6. sz.melléklet'!G10)</f>
        <v>294039503</v>
      </c>
      <c r="H105" s="2201">
        <f>SUM('6. sz.melléklet'!H10)</f>
        <v>444908388</v>
      </c>
      <c r="I105" s="2201"/>
      <c r="J105" s="2201"/>
      <c r="K105" s="2201"/>
      <c r="L105" s="2201">
        <f>SUM('1.sz. melléklet'!B28)</f>
        <v>77670856</v>
      </c>
      <c r="M105" s="2202"/>
      <c r="N105" s="2213">
        <f t="shared" ref="N105:N158" si="8">SUM(C105:M105)</f>
        <v>840976747</v>
      </c>
    </row>
    <row r="106" spans="1:20" s="138" customFormat="1" ht="0.15" customHeight="1" thickBot="1" x14ac:dyDescent="0.2">
      <c r="A106" s="1205"/>
      <c r="B106" s="1206" t="s">
        <v>357</v>
      </c>
      <c r="C106" s="2204">
        <f>SUM('6. sz.melléklet'!C11)</f>
        <v>0</v>
      </c>
      <c r="D106" s="2204">
        <f>SUM('6. sz.melléklet'!D11)</f>
        <v>0</v>
      </c>
      <c r="E106" s="2204">
        <f>SUM('6. sz.melléklet'!E11)</f>
        <v>24361656</v>
      </c>
      <c r="F106" s="2204"/>
      <c r="G106" s="2204">
        <f>SUM('6. sz.melléklet'!G11)</f>
        <v>294038302</v>
      </c>
      <c r="H106" s="2204">
        <f>SUM('6. sz.melléklet'!H11)</f>
        <v>444916190</v>
      </c>
      <c r="I106" s="2204"/>
      <c r="J106" s="2204"/>
      <c r="K106" s="2204"/>
      <c r="L106" s="2204"/>
      <c r="M106" s="2205"/>
      <c r="N106" s="2206">
        <f t="shared" si="8"/>
        <v>763316148</v>
      </c>
    </row>
    <row r="107" spans="1:20" s="779" customFormat="1" ht="0.15" customHeight="1" x14ac:dyDescent="0.15">
      <c r="A107" s="840"/>
      <c r="B107" s="841" t="s">
        <v>355</v>
      </c>
      <c r="C107" s="2207"/>
      <c r="D107" s="2207"/>
      <c r="E107" s="2207"/>
      <c r="F107" s="2207"/>
      <c r="G107" s="2207"/>
      <c r="H107" s="2207"/>
      <c r="I107" s="2207"/>
      <c r="J107" s="2207"/>
      <c r="K107" s="2207"/>
      <c r="L107" s="2207"/>
      <c r="M107" s="2208"/>
      <c r="N107" s="2214">
        <f t="shared" ref="N107" si="9">SUM(C107:M107)</f>
        <v>0</v>
      </c>
    </row>
    <row r="108" spans="1:20" s="138" customFormat="1" ht="23.25" customHeight="1" x14ac:dyDescent="0.3">
      <c r="A108" s="406" t="s">
        <v>294</v>
      </c>
      <c r="B108" s="400" t="s">
        <v>403</v>
      </c>
      <c r="C108" s="1859"/>
      <c r="D108" s="1859"/>
      <c r="E108" s="1859"/>
      <c r="F108" s="1859"/>
      <c r="G108" s="1859"/>
      <c r="H108" s="1859"/>
      <c r="I108" s="1859"/>
      <c r="J108" s="1859"/>
      <c r="K108" s="1859"/>
      <c r="L108" s="1859"/>
      <c r="M108" s="2215"/>
      <c r="N108" s="2216"/>
    </row>
    <row r="109" spans="1:20" s="138" customFormat="1" ht="12.9" customHeight="1" thickBot="1" x14ac:dyDescent="0.35">
      <c r="A109" s="749"/>
      <c r="B109" s="410" t="s">
        <v>356</v>
      </c>
      <c r="C109" s="1776"/>
      <c r="D109" s="1776"/>
      <c r="E109" s="1776">
        <f>'6. sz.melléklet'!E14</f>
        <v>2571210</v>
      </c>
      <c r="F109" s="1776"/>
      <c r="G109" s="1776"/>
      <c r="H109" s="1776"/>
      <c r="I109" s="1776"/>
      <c r="J109" s="1776"/>
      <c r="K109" s="1776"/>
      <c r="L109" s="1776"/>
      <c r="M109" s="2202">
        <f>SUM('6. sz.melléklet'!M14)</f>
        <v>1233365</v>
      </c>
      <c r="N109" s="2213">
        <f>SUM(E109:M109)</f>
        <v>3804575</v>
      </c>
    </row>
    <row r="110" spans="1:20" s="138" customFormat="1" ht="0.15" customHeight="1" thickBot="1" x14ac:dyDescent="0.35">
      <c r="A110" s="1205"/>
      <c r="B110" s="1206" t="s">
        <v>357</v>
      </c>
      <c r="C110" s="1862"/>
      <c r="D110" s="1862"/>
      <c r="E110" s="1862"/>
      <c r="F110" s="1862"/>
      <c r="G110" s="1862"/>
      <c r="H110" s="1862"/>
      <c r="I110" s="1862">
        <f>SUM('6. sz.melléklet'!I15)</f>
        <v>3601</v>
      </c>
      <c r="J110" s="1862"/>
      <c r="K110" s="1862"/>
      <c r="L110" s="1862"/>
      <c r="M110" s="2205">
        <f>SUM('6. sz.melléklet'!M15)</f>
        <v>1233365</v>
      </c>
      <c r="N110" s="2206">
        <f>SUM(C110:M110)</f>
        <v>1236966</v>
      </c>
    </row>
    <row r="111" spans="1:20" s="779" customFormat="1" ht="0.15" customHeight="1" thickBot="1" x14ac:dyDescent="0.35">
      <c r="A111" s="840"/>
      <c r="B111" s="841" t="s">
        <v>355</v>
      </c>
      <c r="C111" s="1864"/>
      <c r="D111" s="1864"/>
      <c r="E111" s="1864"/>
      <c r="F111" s="1864"/>
      <c r="G111" s="1864"/>
      <c r="H111" s="1864"/>
      <c r="I111" s="1864"/>
      <c r="J111" s="1864"/>
      <c r="K111" s="1864"/>
      <c r="L111" s="1864"/>
      <c r="M111" s="2217"/>
      <c r="N111" s="2209">
        <f>SUM(C111:M111)</f>
        <v>0</v>
      </c>
    </row>
    <row r="112" spans="1:20" s="138" customFormat="1" ht="15" customHeight="1" x14ac:dyDescent="0.15">
      <c r="A112" s="540" t="s">
        <v>491</v>
      </c>
      <c r="B112" s="699" t="s">
        <v>492</v>
      </c>
      <c r="C112" s="2198"/>
      <c r="D112" s="2198"/>
      <c r="E112" s="2198"/>
      <c r="F112" s="2198"/>
      <c r="G112" s="2198"/>
      <c r="H112" s="2198"/>
      <c r="I112" s="2198"/>
      <c r="J112" s="2198"/>
      <c r="K112" s="2198"/>
      <c r="L112" s="2198"/>
      <c r="M112" s="2198"/>
      <c r="N112" s="2218"/>
      <c r="O112" s="751"/>
    </row>
    <row r="113" spans="1:15" s="138" customFormat="1" ht="15" customHeight="1" thickBot="1" x14ac:dyDescent="0.2">
      <c r="A113" s="749"/>
      <c r="B113" s="410" t="s">
        <v>356</v>
      </c>
      <c r="C113" s="2201"/>
      <c r="D113" s="2201"/>
      <c r="E113" s="2201"/>
      <c r="F113" s="2201"/>
      <c r="G113" s="2201"/>
      <c r="H113" s="2201"/>
      <c r="I113" s="2201">
        <f>SUM('6. sz.melléklet'!I17)</f>
        <v>29645490</v>
      </c>
      <c r="J113" s="2201"/>
      <c r="K113" s="2201"/>
      <c r="L113" s="2201"/>
      <c r="M113" s="2201"/>
      <c r="N113" s="2219">
        <f>SUM(C113:M113)</f>
        <v>29645490</v>
      </c>
      <c r="O113" s="751"/>
    </row>
    <row r="114" spans="1:15" s="779" customFormat="1" ht="0.15" customHeight="1" x14ac:dyDescent="0.15">
      <c r="A114" s="840"/>
      <c r="B114" s="841"/>
      <c r="C114" s="2207"/>
      <c r="D114" s="2207"/>
      <c r="E114" s="2207"/>
      <c r="F114" s="2207"/>
      <c r="G114" s="2207"/>
      <c r="H114" s="2207"/>
      <c r="I114" s="2207"/>
      <c r="J114" s="2207"/>
      <c r="K114" s="2207"/>
      <c r="L114" s="2207"/>
      <c r="M114" s="2208"/>
      <c r="N114" s="2209"/>
    </row>
    <row r="115" spans="1:15" s="779" customFormat="1" ht="0.15" customHeight="1" x14ac:dyDescent="0.15">
      <c r="A115" s="840"/>
      <c r="B115" s="841"/>
      <c r="C115" s="2207"/>
      <c r="D115" s="2207"/>
      <c r="E115" s="2207"/>
      <c r="F115" s="2207"/>
      <c r="G115" s="2207"/>
      <c r="H115" s="2207"/>
      <c r="I115" s="2207"/>
      <c r="J115" s="2207"/>
      <c r="K115" s="2207"/>
      <c r="L115" s="2207"/>
      <c r="M115" s="2208"/>
      <c r="N115" s="2209"/>
    </row>
    <row r="116" spans="1:15" s="138" customFormat="1" ht="12.75" customHeight="1" x14ac:dyDescent="0.15">
      <c r="A116" s="406" t="s">
        <v>284</v>
      </c>
      <c r="B116" s="401" t="s">
        <v>285</v>
      </c>
      <c r="C116" s="2210"/>
      <c r="D116" s="2210"/>
      <c r="E116" s="2210"/>
      <c r="F116" s="2210"/>
      <c r="G116" s="2210"/>
      <c r="H116" s="2210"/>
      <c r="I116" s="2210"/>
      <c r="J116" s="2210"/>
      <c r="K116" s="2210"/>
      <c r="L116" s="2210"/>
      <c r="M116" s="2211"/>
      <c r="N116" s="2212"/>
    </row>
    <row r="117" spans="1:15" s="138" customFormat="1" ht="15" customHeight="1" thickBot="1" x14ac:dyDescent="0.2">
      <c r="A117" s="749"/>
      <c r="B117" s="410" t="s">
        <v>356</v>
      </c>
      <c r="C117" s="2201"/>
      <c r="D117" s="2201"/>
      <c r="E117" s="2201"/>
      <c r="F117" s="2201"/>
      <c r="G117" s="2201"/>
      <c r="H117" s="2201"/>
      <c r="I117" s="2201"/>
      <c r="J117" s="2201"/>
      <c r="K117" s="2201"/>
      <c r="L117" s="2201"/>
      <c r="M117" s="2202">
        <f>SUM('6. sz.melléklet'!M21)</f>
        <v>451463000</v>
      </c>
      <c r="N117" s="2203">
        <f t="shared" si="8"/>
        <v>451463000</v>
      </c>
    </row>
    <row r="118" spans="1:15" s="138" customFormat="1" ht="0.15" customHeight="1" thickBot="1" x14ac:dyDescent="0.2">
      <c r="A118" s="1205"/>
      <c r="B118" s="1206" t="s">
        <v>357</v>
      </c>
      <c r="C118" s="2204"/>
      <c r="D118" s="2204"/>
      <c r="E118" s="2204"/>
      <c r="F118" s="2204"/>
      <c r="G118" s="2204"/>
      <c r="H118" s="2204"/>
      <c r="I118" s="2204"/>
      <c r="J118" s="2204"/>
      <c r="K118" s="2204"/>
      <c r="L118" s="2204"/>
      <c r="M118" s="2205">
        <f>SUM('6. sz.melléklet'!M22)</f>
        <v>451472089</v>
      </c>
      <c r="N118" s="2206">
        <f>SUM(C118:M118)</f>
        <v>451472089</v>
      </c>
    </row>
    <row r="119" spans="1:15" s="779" customFormat="1" ht="0.15" customHeight="1" x14ac:dyDescent="0.15">
      <c r="A119" s="840"/>
      <c r="B119" s="841" t="s">
        <v>355</v>
      </c>
      <c r="C119" s="2207"/>
      <c r="D119" s="2207"/>
      <c r="E119" s="2207"/>
      <c r="F119" s="2207"/>
      <c r="G119" s="2207"/>
      <c r="H119" s="2207"/>
      <c r="I119" s="2207"/>
      <c r="J119" s="2207"/>
      <c r="K119" s="2207"/>
      <c r="L119" s="2207"/>
      <c r="M119" s="2208"/>
      <c r="N119" s="2209">
        <f t="shared" ref="N119" si="10">SUM(C119:M119)</f>
        <v>0</v>
      </c>
    </row>
    <row r="120" spans="1:15" s="138" customFormat="1" ht="18.75" customHeight="1" x14ac:dyDescent="0.15">
      <c r="A120" s="425" t="s">
        <v>255</v>
      </c>
      <c r="B120" s="400" t="s">
        <v>164</v>
      </c>
      <c r="C120" s="2220"/>
      <c r="D120" s="2220"/>
      <c r="E120" s="2220"/>
      <c r="F120" s="2220"/>
      <c r="G120" s="2220"/>
      <c r="H120" s="2220"/>
      <c r="I120" s="2221"/>
      <c r="J120" s="2221"/>
      <c r="K120" s="2221"/>
      <c r="L120" s="2221"/>
      <c r="M120" s="2222"/>
      <c r="N120" s="2212"/>
    </row>
    <row r="121" spans="1:15" s="138" customFormat="1" ht="15" customHeight="1" thickBot="1" x14ac:dyDescent="0.2">
      <c r="A121" s="412"/>
      <c r="B121" s="410" t="s">
        <v>356</v>
      </c>
      <c r="C121" s="2223"/>
      <c r="D121" s="2223"/>
      <c r="E121" s="2223">
        <f>SUM('6. sz.melléklet'!E41)</f>
        <v>9615000</v>
      </c>
      <c r="F121" s="2223"/>
      <c r="G121" s="2223">
        <f>SUM('6. sz.melléklet'!G41)</f>
        <v>0</v>
      </c>
      <c r="H121" s="2223"/>
      <c r="I121" s="2224"/>
      <c r="J121" s="2224"/>
      <c r="K121" s="2224"/>
      <c r="L121" s="2224"/>
      <c r="M121" s="2225"/>
      <c r="N121" s="2203">
        <f t="shared" si="8"/>
        <v>9615000</v>
      </c>
    </row>
    <row r="122" spans="1:15" s="138" customFormat="1" ht="0.15" customHeight="1" thickBot="1" x14ac:dyDescent="0.2">
      <c r="A122" s="1207"/>
      <c r="B122" s="1206" t="s">
        <v>357</v>
      </c>
      <c r="C122" s="2226"/>
      <c r="D122" s="2226"/>
      <c r="E122" s="2226">
        <f>SUM('6. sz.melléklet'!E42)</f>
        <v>9617738</v>
      </c>
      <c r="F122" s="2226"/>
      <c r="G122" s="2226">
        <f>SUM('6. sz.melléklet'!G42)</f>
        <v>0</v>
      </c>
      <c r="H122" s="2226"/>
      <c r="I122" s="2227"/>
      <c r="J122" s="2227"/>
      <c r="K122" s="2227"/>
      <c r="L122" s="2227"/>
      <c r="M122" s="2228"/>
      <c r="N122" s="2206">
        <f t="shared" si="8"/>
        <v>9617738</v>
      </c>
    </row>
    <row r="123" spans="1:15" s="779" customFormat="1" ht="0.15" customHeight="1" x14ac:dyDescent="0.15">
      <c r="A123" s="834"/>
      <c r="B123" s="841" t="s">
        <v>355</v>
      </c>
      <c r="C123" s="2229"/>
      <c r="D123" s="2229"/>
      <c r="E123" s="2229"/>
      <c r="F123" s="2229"/>
      <c r="G123" s="2229"/>
      <c r="H123" s="2229"/>
      <c r="I123" s="2230"/>
      <c r="J123" s="2230"/>
      <c r="K123" s="2230"/>
      <c r="L123" s="2230"/>
      <c r="M123" s="2231"/>
      <c r="N123" s="2209">
        <f t="shared" ref="N123" si="11">SUM(C123:M123)</f>
        <v>0</v>
      </c>
    </row>
    <row r="124" spans="1:15" s="138" customFormat="1" ht="16.8" x14ac:dyDescent="0.15">
      <c r="A124" s="425" t="s">
        <v>256</v>
      </c>
      <c r="B124" s="400" t="s">
        <v>257</v>
      </c>
      <c r="C124" s="2220"/>
      <c r="D124" s="2220"/>
      <c r="E124" s="2220"/>
      <c r="F124" s="2220"/>
      <c r="G124" s="2220"/>
      <c r="H124" s="2220"/>
      <c r="I124" s="2221"/>
      <c r="J124" s="2221"/>
      <c r="K124" s="2221"/>
      <c r="L124" s="2221"/>
      <c r="M124" s="2222"/>
      <c r="N124" s="2212"/>
    </row>
    <row r="125" spans="1:15" s="138" customFormat="1" ht="15" customHeight="1" thickBot="1" x14ac:dyDescent="0.2">
      <c r="A125" s="412"/>
      <c r="B125" s="410" t="s">
        <v>356</v>
      </c>
      <c r="C125" s="2223"/>
      <c r="D125" s="2223"/>
      <c r="E125" s="2223">
        <f>SUM('6. sz.melléklet'!E45)</f>
        <v>1188000</v>
      </c>
      <c r="F125" s="2223"/>
      <c r="G125" s="2223"/>
      <c r="H125" s="2223"/>
      <c r="I125" s="2224"/>
      <c r="J125" s="2224"/>
      <c r="K125" s="2224"/>
      <c r="L125" s="2224"/>
      <c r="M125" s="2225"/>
      <c r="N125" s="2203">
        <f t="shared" si="8"/>
        <v>1188000</v>
      </c>
    </row>
    <row r="126" spans="1:15" s="138" customFormat="1" ht="0.15" customHeight="1" thickBot="1" x14ac:dyDescent="0.2">
      <c r="A126" s="1207"/>
      <c r="B126" s="1206" t="s">
        <v>357</v>
      </c>
      <c r="C126" s="2226"/>
      <c r="D126" s="2226"/>
      <c r="E126" s="2226">
        <f>SUM('6. sz.melléklet'!E46)</f>
        <v>1190738</v>
      </c>
      <c r="F126" s="2226"/>
      <c r="G126" s="2226"/>
      <c r="H126" s="2226"/>
      <c r="I126" s="2227"/>
      <c r="J126" s="2227"/>
      <c r="K126" s="2227"/>
      <c r="L126" s="2227"/>
      <c r="M126" s="2228"/>
      <c r="N126" s="2206">
        <f t="shared" si="8"/>
        <v>1190738</v>
      </c>
    </row>
    <row r="127" spans="1:15" s="779" customFormat="1" ht="0.15" customHeight="1" x14ac:dyDescent="0.15">
      <c r="A127" s="834"/>
      <c r="B127" s="841" t="s">
        <v>355</v>
      </c>
      <c r="C127" s="2229"/>
      <c r="D127" s="2229"/>
      <c r="E127" s="2229"/>
      <c r="F127" s="2229"/>
      <c r="G127" s="2229"/>
      <c r="H127" s="2229"/>
      <c r="I127" s="2230"/>
      <c r="J127" s="2230"/>
      <c r="K127" s="2230"/>
      <c r="L127" s="2230"/>
      <c r="M127" s="2231"/>
      <c r="N127" s="2209">
        <f t="shared" ref="N127" si="12">SUM(C127:M127)</f>
        <v>0</v>
      </c>
    </row>
    <row r="128" spans="1:15" s="138" customFormat="1" ht="15" customHeight="1" x14ac:dyDescent="0.15">
      <c r="A128" s="425" t="s">
        <v>276</v>
      </c>
      <c r="B128" s="400" t="s">
        <v>1</v>
      </c>
      <c r="C128" s="2232"/>
      <c r="D128" s="2220"/>
      <c r="E128" s="2220"/>
      <c r="F128" s="2220"/>
      <c r="G128" s="2220"/>
      <c r="H128" s="2220"/>
      <c r="I128" s="2221"/>
      <c r="J128" s="2221"/>
      <c r="K128" s="2221"/>
      <c r="L128" s="2221"/>
      <c r="M128" s="2222"/>
      <c r="N128" s="2212"/>
    </row>
    <row r="129" spans="1:14" s="138" customFormat="1" ht="15" customHeight="1" thickBot="1" x14ac:dyDescent="0.2">
      <c r="A129" s="412"/>
      <c r="B129" s="410" t="s">
        <v>356</v>
      </c>
      <c r="C129" s="2233"/>
      <c r="D129" s="2223"/>
      <c r="E129" s="2223">
        <f>SUM('6. sz.melléklet'!E49)</f>
        <v>17507000</v>
      </c>
      <c r="F129" s="2223"/>
      <c r="G129" s="2223"/>
      <c r="H129" s="2223"/>
      <c r="I129" s="2224"/>
      <c r="J129" s="2224"/>
      <c r="K129" s="2224"/>
      <c r="L129" s="2224"/>
      <c r="M129" s="2225"/>
      <c r="N129" s="2203">
        <f t="shared" si="8"/>
        <v>17507000</v>
      </c>
    </row>
    <row r="130" spans="1:14" s="138" customFormat="1" ht="0.15" customHeight="1" thickBot="1" x14ac:dyDescent="0.2">
      <c r="A130" s="1207"/>
      <c r="B130" s="1206" t="s">
        <v>357</v>
      </c>
      <c r="C130" s="2234"/>
      <c r="D130" s="2226"/>
      <c r="E130" s="2226">
        <f>SUM('6. sz.melléklet'!E50)</f>
        <v>17507000</v>
      </c>
      <c r="F130" s="2226"/>
      <c r="G130" s="2226"/>
      <c r="H130" s="2226"/>
      <c r="I130" s="2227"/>
      <c r="J130" s="2227"/>
      <c r="K130" s="2227"/>
      <c r="L130" s="2227"/>
      <c r="M130" s="2228"/>
      <c r="N130" s="2206">
        <f t="shared" si="8"/>
        <v>17507000</v>
      </c>
    </row>
    <row r="131" spans="1:14" s="779" customFormat="1" ht="0.15" customHeight="1" x14ac:dyDescent="0.15">
      <c r="A131" s="834"/>
      <c r="B131" s="841" t="s">
        <v>355</v>
      </c>
      <c r="C131" s="2235"/>
      <c r="D131" s="2229"/>
      <c r="E131" s="2229"/>
      <c r="F131" s="2229"/>
      <c r="G131" s="2229"/>
      <c r="H131" s="2229"/>
      <c r="I131" s="2230"/>
      <c r="J131" s="2230"/>
      <c r="K131" s="2230"/>
      <c r="L131" s="2230"/>
      <c r="M131" s="2231"/>
      <c r="N131" s="2209">
        <f t="shared" ref="N131" si="13">SUM(C131:M131)</f>
        <v>0</v>
      </c>
    </row>
    <row r="132" spans="1:14" s="138" customFormat="1" ht="15" customHeight="1" x14ac:dyDescent="0.15">
      <c r="A132" s="425" t="s">
        <v>277</v>
      </c>
      <c r="B132" s="400" t="s">
        <v>507</v>
      </c>
      <c r="C132" s="2220"/>
      <c r="D132" s="2220"/>
      <c r="E132" s="2220"/>
      <c r="F132" s="2220"/>
      <c r="G132" s="2220"/>
      <c r="H132" s="2220"/>
      <c r="I132" s="2221"/>
      <c r="J132" s="2221"/>
      <c r="K132" s="2221"/>
      <c r="L132" s="2221"/>
      <c r="M132" s="2222"/>
      <c r="N132" s="2212"/>
    </row>
    <row r="133" spans="1:14" s="138" customFormat="1" ht="15" customHeight="1" thickBot="1" x14ac:dyDescent="0.2">
      <c r="A133" s="412"/>
      <c r="B133" s="410" t="s">
        <v>356</v>
      </c>
      <c r="C133" s="2223"/>
      <c r="D133" s="2223"/>
      <c r="E133" s="2223">
        <f>SUM('6. sz.melléklet'!E53)</f>
        <v>3277000</v>
      </c>
      <c r="F133" s="2223"/>
      <c r="G133" s="2223"/>
      <c r="H133" s="2223"/>
      <c r="I133" s="2224"/>
      <c r="J133" s="2224"/>
      <c r="K133" s="2224"/>
      <c r="L133" s="2224"/>
      <c r="M133" s="2225"/>
      <c r="N133" s="2203">
        <f t="shared" si="8"/>
        <v>3277000</v>
      </c>
    </row>
    <row r="134" spans="1:14" s="138" customFormat="1" ht="0.15" customHeight="1" thickBot="1" x14ac:dyDescent="0.2">
      <c r="A134" s="1207"/>
      <c r="B134" s="1206" t="s">
        <v>357</v>
      </c>
      <c r="C134" s="2226"/>
      <c r="D134" s="2226"/>
      <c r="E134" s="2226">
        <f>SUM('6. sz.melléklet'!E54)</f>
        <v>3277000</v>
      </c>
      <c r="F134" s="2226"/>
      <c r="G134" s="2226"/>
      <c r="H134" s="2226"/>
      <c r="I134" s="2227"/>
      <c r="J134" s="2227"/>
      <c r="K134" s="2227"/>
      <c r="L134" s="2227"/>
      <c r="M134" s="2228"/>
      <c r="N134" s="2206">
        <f t="shared" si="8"/>
        <v>3277000</v>
      </c>
    </row>
    <row r="135" spans="1:14" s="779" customFormat="1" ht="0.15" customHeight="1" x14ac:dyDescent="0.15">
      <c r="A135" s="834"/>
      <c r="B135" s="841" t="s">
        <v>355</v>
      </c>
      <c r="C135" s="2229"/>
      <c r="D135" s="2229"/>
      <c r="E135" s="2229"/>
      <c r="F135" s="2229"/>
      <c r="G135" s="2229"/>
      <c r="H135" s="2229"/>
      <c r="I135" s="2230"/>
      <c r="J135" s="2230"/>
      <c r="K135" s="2230"/>
      <c r="L135" s="2230"/>
      <c r="M135" s="2231"/>
      <c r="N135" s="2209">
        <f t="shared" ref="N135" si="14">SUM(C135:M135)</f>
        <v>0</v>
      </c>
    </row>
    <row r="136" spans="1:14" s="138" customFormat="1" ht="15" customHeight="1" x14ac:dyDescent="0.15">
      <c r="A136" s="425" t="s">
        <v>258</v>
      </c>
      <c r="B136" s="400" t="s">
        <v>259</v>
      </c>
      <c r="C136" s="2220"/>
      <c r="D136" s="2220"/>
      <c r="E136" s="2220"/>
      <c r="F136" s="2220"/>
      <c r="G136" s="2220"/>
      <c r="H136" s="2220"/>
      <c r="I136" s="2221"/>
      <c r="J136" s="2221"/>
      <c r="K136" s="2221"/>
      <c r="L136" s="2221"/>
      <c r="M136" s="2222"/>
      <c r="N136" s="2212"/>
    </row>
    <row r="137" spans="1:14" s="138" customFormat="1" ht="15" customHeight="1" thickBot="1" x14ac:dyDescent="0.2">
      <c r="A137" s="412"/>
      <c r="B137" s="410" t="s">
        <v>356</v>
      </c>
      <c r="C137" s="2223"/>
      <c r="D137" s="2223"/>
      <c r="E137" s="2223">
        <f>SUM('6. sz.melléklet'!E57)</f>
        <v>1702000</v>
      </c>
      <c r="F137" s="2223"/>
      <c r="G137" s="2223"/>
      <c r="H137" s="2223"/>
      <c r="I137" s="2224"/>
      <c r="J137" s="2224"/>
      <c r="K137" s="2224"/>
      <c r="L137" s="2224"/>
      <c r="M137" s="2225"/>
      <c r="N137" s="2203">
        <f t="shared" si="8"/>
        <v>1702000</v>
      </c>
    </row>
    <row r="138" spans="1:14" s="138" customFormat="1" ht="0.15" customHeight="1" thickBot="1" x14ac:dyDescent="0.2">
      <c r="A138" s="1207"/>
      <c r="B138" s="1206" t="s">
        <v>357</v>
      </c>
      <c r="C138" s="2226"/>
      <c r="D138" s="2226"/>
      <c r="E138" s="2226"/>
      <c r="F138" s="2226"/>
      <c r="G138" s="2226"/>
      <c r="H138" s="2226"/>
      <c r="I138" s="2227"/>
      <c r="J138" s="2227"/>
      <c r="K138" s="2227"/>
      <c r="L138" s="2227"/>
      <c r="M138" s="2228"/>
      <c r="N138" s="2206">
        <f t="shared" si="8"/>
        <v>0</v>
      </c>
    </row>
    <row r="139" spans="1:14" s="779" customFormat="1" ht="0.15" customHeight="1" x14ac:dyDescent="0.15">
      <c r="A139" s="834"/>
      <c r="B139" s="841" t="s">
        <v>355</v>
      </c>
      <c r="C139" s="2229"/>
      <c r="D139" s="2229"/>
      <c r="E139" s="2229"/>
      <c r="F139" s="2229"/>
      <c r="G139" s="2229"/>
      <c r="H139" s="2229"/>
      <c r="I139" s="2230"/>
      <c r="J139" s="2230"/>
      <c r="K139" s="2230"/>
      <c r="L139" s="2230"/>
      <c r="M139" s="2231"/>
      <c r="N139" s="2209">
        <f t="shared" ref="N139" si="15">SUM(C139:M139)</f>
        <v>0</v>
      </c>
    </row>
    <row r="140" spans="1:14" s="138" customFormat="1" ht="15" customHeight="1" x14ac:dyDescent="0.15">
      <c r="A140" s="425" t="s">
        <v>260</v>
      </c>
      <c r="B140" s="400" t="s">
        <v>110</v>
      </c>
      <c r="C140" s="2220"/>
      <c r="D140" s="2220"/>
      <c r="E140" s="2220"/>
      <c r="F140" s="2220"/>
      <c r="G140" s="2220"/>
      <c r="H140" s="2220"/>
      <c r="I140" s="2221"/>
      <c r="J140" s="2221"/>
      <c r="K140" s="2221"/>
      <c r="L140" s="2221"/>
      <c r="M140" s="2222"/>
      <c r="N140" s="2212"/>
    </row>
    <row r="141" spans="1:14" s="138" customFormat="1" ht="15" customHeight="1" thickBot="1" x14ac:dyDescent="0.2">
      <c r="A141" s="412"/>
      <c r="B141" s="410" t="s">
        <v>356</v>
      </c>
      <c r="C141" s="2223"/>
      <c r="D141" s="2223"/>
      <c r="E141" s="2223">
        <f>SUM('6. sz.melléklet'!E61)</f>
        <v>23238000</v>
      </c>
      <c r="F141" s="2223"/>
      <c r="G141" s="2223"/>
      <c r="H141" s="2223">
        <f>SUM('6. sz.melléklet'!H61)</f>
        <v>400000</v>
      </c>
      <c r="I141" s="2224"/>
      <c r="J141" s="2224"/>
      <c r="K141" s="2224"/>
      <c r="L141" s="2224"/>
      <c r="M141" s="2225"/>
      <c r="N141" s="2203">
        <f t="shared" si="8"/>
        <v>23638000</v>
      </c>
    </row>
    <row r="142" spans="1:14" s="138" customFormat="1" ht="0.15" customHeight="1" thickBot="1" x14ac:dyDescent="0.2">
      <c r="A142" s="1207"/>
      <c r="B142" s="1206" t="s">
        <v>357</v>
      </c>
      <c r="C142" s="2226"/>
      <c r="D142" s="2226"/>
      <c r="E142" s="2226">
        <f>SUM('6. sz.melléklet'!E62)</f>
        <v>23238000</v>
      </c>
      <c r="F142" s="2226"/>
      <c r="G142" s="2226"/>
      <c r="H142" s="2226"/>
      <c r="I142" s="2227"/>
      <c r="J142" s="2227"/>
      <c r="K142" s="2227"/>
      <c r="L142" s="2227"/>
      <c r="M142" s="2228"/>
      <c r="N142" s="2206">
        <f t="shared" si="8"/>
        <v>23238000</v>
      </c>
    </row>
    <row r="143" spans="1:14" s="779" customFormat="1" ht="0.15" customHeight="1" x14ac:dyDescent="0.15">
      <c r="A143" s="834"/>
      <c r="B143" s="841" t="s">
        <v>355</v>
      </c>
      <c r="C143" s="2229"/>
      <c r="D143" s="2229"/>
      <c r="E143" s="2229"/>
      <c r="F143" s="2229"/>
      <c r="G143" s="2229"/>
      <c r="H143" s="2229"/>
      <c r="I143" s="2230"/>
      <c r="J143" s="2230"/>
      <c r="K143" s="2230"/>
      <c r="L143" s="2230"/>
      <c r="M143" s="2231"/>
      <c r="N143" s="2209">
        <f t="shared" ref="N143" si="16">SUM(C143:M143)</f>
        <v>0</v>
      </c>
    </row>
    <row r="144" spans="1:14" s="138" customFormat="1" ht="16.8" x14ac:dyDescent="0.15">
      <c r="A144" s="425" t="s">
        <v>261</v>
      </c>
      <c r="B144" s="400" t="s">
        <v>112</v>
      </c>
      <c r="C144" s="2220"/>
      <c r="D144" s="2220"/>
      <c r="E144" s="2220"/>
      <c r="F144" s="2220"/>
      <c r="G144" s="2220"/>
      <c r="H144" s="2220"/>
      <c r="I144" s="2221"/>
      <c r="J144" s="2221"/>
      <c r="K144" s="2221"/>
      <c r="L144" s="2221"/>
      <c r="M144" s="2222"/>
      <c r="N144" s="2212"/>
    </row>
    <row r="145" spans="1:14" s="138" customFormat="1" ht="15" customHeight="1" thickBot="1" x14ac:dyDescent="0.2">
      <c r="A145" s="412"/>
      <c r="B145" s="410" t="s">
        <v>356</v>
      </c>
      <c r="C145" s="2223">
        <f>SUM('6. sz.melléklet'!C65)</f>
        <v>8392000</v>
      </c>
      <c r="D145" s="2223">
        <f>SUM('6. sz.melléklet'!D65)</f>
        <v>1755000</v>
      </c>
      <c r="E145" s="2223">
        <f>SUM('6. sz.melléklet'!E65)</f>
        <v>1578000</v>
      </c>
      <c r="F145" s="2223"/>
      <c r="G145" s="2223"/>
      <c r="H145" s="2223">
        <f>SUM('6. sz.melléklet'!H65)</f>
        <v>300000</v>
      </c>
      <c r="I145" s="2224"/>
      <c r="J145" s="2224"/>
      <c r="K145" s="2224"/>
      <c r="L145" s="2224"/>
      <c r="M145" s="2225"/>
      <c r="N145" s="2203">
        <f t="shared" si="8"/>
        <v>12025000</v>
      </c>
    </row>
    <row r="146" spans="1:14" s="138" customFormat="1" ht="0.15" customHeight="1" thickBot="1" x14ac:dyDescent="0.2">
      <c r="A146" s="1207"/>
      <c r="B146" s="1206" t="s">
        <v>357</v>
      </c>
      <c r="C146" s="2226">
        <f>SUM('6. sz.melléklet'!C66)</f>
        <v>8392026</v>
      </c>
      <c r="D146" s="2226">
        <f>SUM('6. sz.melléklet'!D66)</f>
        <v>1755006</v>
      </c>
      <c r="E146" s="2226">
        <f>SUM('6. sz.melléklet'!E66)</f>
        <v>1578000</v>
      </c>
      <c r="F146" s="2226"/>
      <c r="G146" s="2226"/>
      <c r="H146" s="2226">
        <f>SUM('6. sz.melléklet'!H66)</f>
        <v>300000</v>
      </c>
      <c r="I146" s="2227"/>
      <c r="J146" s="2227"/>
      <c r="K146" s="2227"/>
      <c r="L146" s="2227"/>
      <c r="M146" s="2228"/>
      <c r="N146" s="2206">
        <f t="shared" si="8"/>
        <v>12025032</v>
      </c>
    </row>
    <row r="147" spans="1:14" s="779" customFormat="1" ht="0.15" customHeight="1" x14ac:dyDescent="0.15">
      <c r="A147" s="834"/>
      <c r="B147" s="841" t="s">
        <v>355</v>
      </c>
      <c r="C147" s="2229"/>
      <c r="D147" s="2229"/>
      <c r="E147" s="2229"/>
      <c r="F147" s="2229"/>
      <c r="G147" s="2229"/>
      <c r="H147" s="2229"/>
      <c r="I147" s="2230"/>
      <c r="J147" s="2230"/>
      <c r="K147" s="2230"/>
      <c r="L147" s="2230"/>
      <c r="M147" s="2231"/>
      <c r="N147" s="2209">
        <f t="shared" ref="N147" si="17">SUM(C147:M147)</f>
        <v>0</v>
      </c>
    </row>
    <row r="148" spans="1:14" s="138" customFormat="1" ht="15" customHeight="1" x14ac:dyDescent="0.15">
      <c r="A148" s="425" t="s">
        <v>262</v>
      </c>
      <c r="B148" s="400" t="s">
        <v>111</v>
      </c>
      <c r="C148" s="2220"/>
      <c r="D148" s="2220"/>
      <c r="E148" s="2220"/>
      <c r="F148" s="2220"/>
      <c r="G148" s="2220"/>
      <c r="H148" s="2220"/>
      <c r="I148" s="2221"/>
      <c r="J148" s="2221"/>
      <c r="K148" s="2221"/>
      <c r="L148" s="2221"/>
      <c r="M148" s="2222"/>
      <c r="N148" s="2212"/>
    </row>
    <row r="149" spans="1:14" s="138" customFormat="1" ht="15" customHeight="1" thickBot="1" x14ac:dyDescent="0.2">
      <c r="A149" s="412"/>
      <c r="B149" s="410" t="s">
        <v>356</v>
      </c>
      <c r="C149" s="2223">
        <f>SUM('6. sz.melléklet'!C69)</f>
        <v>447000</v>
      </c>
      <c r="D149" s="2223">
        <f>SUM('6. sz.melléklet'!D69)</f>
        <v>88000</v>
      </c>
      <c r="E149" s="2223"/>
      <c r="F149" s="2223"/>
      <c r="G149" s="2223"/>
      <c r="H149" s="2223"/>
      <c r="I149" s="2224"/>
      <c r="J149" s="2224"/>
      <c r="K149" s="2224"/>
      <c r="L149" s="2224"/>
      <c r="M149" s="2225"/>
      <c r="N149" s="2203">
        <f t="shared" si="8"/>
        <v>535000</v>
      </c>
    </row>
    <row r="150" spans="1:14" s="138" customFormat="1" ht="0.15" customHeight="1" thickBot="1" x14ac:dyDescent="0.2">
      <c r="A150" s="1207"/>
      <c r="B150" s="1206" t="s">
        <v>357</v>
      </c>
      <c r="C150" s="2226">
        <f>SUM('6. sz.melléklet'!C70)</f>
        <v>447000</v>
      </c>
      <c r="D150" s="2226">
        <f>SUM('6. sz.melléklet'!D70)</f>
        <v>88000</v>
      </c>
      <c r="E150" s="2226"/>
      <c r="F150" s="2226"/>
      <c r="G150" s="2226"/>
      <c r="H150" s="2226"/>
      <c r="I150" s="2227"/>
      <c r="J150" s="2227"/>
      <c r="K150" s="2227"/>
      <c r="L150" s="2227"/>
      <c r="M150" s="2228"/>
      <c r="N150" s="2206">
        <f t="shared" si="8"/>
        <v>535000</v>
      </c>
    </row>
    <row r="151" spans="1:14" s="779" customFormat="1" ht="0.15" customHeight="1" x14ac:dyDescent="0.15">
      <c r="A151" s="834"/>
      <c r="B151" s="841" t="s">
        <v>355</v>
      </c>
      <c r="C151" s="2229"/>
      <c r="D151" s="2229"/>
      <c r="E151" s="2229"/>
      <c r="F151" s="2229"/>
      <c r="G151" s="2229"/>
      <c r="H151" s="2229"/>
      <c r="I151" s="2230"/>
      <c r="J151" s="2230"/>
      <c r="K151" s="2230"/>
      <c r="L151" s="2230"/>
      <c r="M151" s="2231"/>
      <c r="N151" s="2209">
        <f t="shared" ref="N151" si="18">SUM(C151:M151)</f>
        <v>0</v>
      </c>
    </row>
    <row r="152" spans="1:14" s="138" customFormat="1" ht="25.2" x14ac:dyDescent="0.15">
      <c r="A152" s="425" t="s">
        <v>263</v>
      </c>
      <c r="B152" s="400" t="s">
        <v>264</v>
      </c>
      <c r="C152" s="2220"/>
      <c r="D152" s="2220"/>
      <c r="E152" s="2220"/>
      <c r="F152" s="2220"/>
      <c r="G152" s="2220"/>
      <c r="H152" s="2220"/>
      <c r="I152" s="2221"/>
      <c r="J152" s="2221"/>
      <c r="K152" s="2221"/>
      <c r="L152" s="2221"/>
      <c r="M152" s="2222"/>
      <c r="N152" s="2236"/>
    </row>
    <row r="153" spans="1:14" s="138" customFormat="1" ht="15" customHeight="1" thickBot="1" x14ac:dyDescent="0.2">
      <c r="A153" s="412"/>
      <c r="B153" s="410" t="s">
        <v>356</v>
      </c>
      <c r="C153" s="2223">
        <f>SUM('6. sz.melléklet'!C73)</f>
        <v>480000</v>
      </c>
      <c r="D153" s="2223">
        <f>SUM('6. sz.melléklet'!D73)</f>
        <v>95000</v>
      </c>
      <c r="E153" s="2223">
        <f>SUM('6. sz.melléklet'!E73)</f>
        <v>534000</v>
      </c>
      <c r="F153" s="2223"/>
      <c r="G153" s="2223"/>
      <c r="H153" s="2223"/>
      <c r="I153" s="2224">
        <f>SUM('6. sz.melléklet'!I73)</f>
        <v>840000</v>
      </c>
      <c r="J153" s="2224"/>
      <c r="K153" s="2224"/>
      <c r="L153" s="2224"/>
      <c r="M153" s="2225"/>
      <c r="N153" s="2203">
        <f t="shared" si="8"/>
        <v>1949000</v>
      </c>
    </row>
    <row r="154" spans="1:14" s="138" customFormat="1" ht="0.15" customHeight="1" thickBot="1" x14ac:dyDescent="0.2">
      <c r="A154" s="1207"/>
      <c r="B154" s="1206" t="s">
        <v>357</v>
      </c>
      <c r="C154" s="2226">
        <f>SUM('6. sz.melléklet'!C74)</f>
        <v>480000</v>
      </c>
      <c r="D154" s="2226">
        <f>SUM('6. sz.melléklet'!D74)</f>
        <v>95000</v>
      </c>
      <c r="E154" s="2226">
        <f>SUM('6. sz.melléklet'!E74)</f>
        <v>534000</v>
      </c>
      <c r="F154" s="2226"/>
      <c r="G154" s="2226"/>
      <c r="H154" s="2226"/>
      <c r="I154" s="2227">
        <f>SUM('6. sz.melléklet'!I74)</f>
        <v>840</v>
      </c>
      <c r="J154" s="2227"/>
      <c r="K154" s="2227"/>
      <c r="L154" s="2227"/>
      <c r="M154" s="2228"/>
      <c r="N154" s="2206">
        <f t="shared" si="8"/>
        <v>1109840</v>
      </c>
    </row>
    <row r="155" spans="1:14" s="779" customFormat="1" ht="0.15" customHeight="1" x14ac:dyDescent="0.15">
      <c r="A155" s="834"/>
      <c r="B155" s="841" t="s">
        <v>355</v>
      </c>
      <c r="C155" s="2229"/>
      <c r="D155" s="2229"/>
      <c r="E155" s="2229"/>
      <c r="F155" s="2229"/>
      <c r="G155" s="2229"/>
      <c r="H155" s="2229"/>
      <c r="I155" s="2230"/>
      <c r="J155" s="2230"/>
      <c r="K155" s="2230"/>
      <c r="L155" s="2230"/>
      <c r="M155" s="2231"/>
      <c r="N155" s="2209">
        <f t="shared" ref="N155" si="19">SUM(C155:M155)</f>
        <v>0</v>
      </c>
    </row>
    <row r="156" spans="1:14" s="138" customFormat="1" ht="16.8" x14ac:dyDescent="0.15">
      <c r="A156" s="425" t="s">
        <v>457</v>
      </c>
      <c r="B156" s="400" t="s">
        <v>292</v>
      </c>
      <c r="C156" s="2220"/>
      <c r="D156" s="2220"/>
      <c r="E156" s="2220"/>
      <c r="F156" s="2220"/>
      <c r="G156" s="2220"/>
      <c r="H156" s="2220"/>
      <c r="I156" s="2221"/>
      <c r="J156" s="2221"/>
      <c r="K156" s="2221"/>
      <c r="L156" s="2221"/>
      <c r="M156" s="2222"/>
      <c r="N156" s="2236"/>
    </row>
    <row r="157" spans="1:14" s="138" customFormat="1" ht="15" customHeight="1" thickBot="1" x14ac:dyDescent="0.2">
      <c r="A157" s="412"/>
      <c r="B157" s="410" t="s">
        <v>356</v>
      </c>
      <c r="C157" s="2223"/>
      <c r="D157" s="2223"/>
      <c r="E157" s="2223"/>
      <c r="F157" s="2223"/>
      <c r="G157" s="2223"/>
      <c r="H157" s="2223"/>
      <c r="I157" s="2224">
        <f>SUM('6. sz.melléklet'!I77)</f>
        <v>1300000</v>
      </c>
      <c r="J157" s="2224"/>
      <c r="K157" s="2224"/>
      <c r="L157" s="2224"/>
      <c r="M157" s="2225"/>
      <c r="N157" s="2203">
        <f t="shared" si="8"/>
        <v>1300000</v>
      </c>
    </row>
    <row r="158" spans="1:14" s="138" customFormat="1" ht="0.15" customHeight="1" thickBot="1" x14ac:dyDescent="0.2">
      <c r="A158" s="1207"/>
      <c r="B158" s="1206" t="s">
        <v>357</v>
      </c>
      <c r="C158" s="2226"/>
      <c r="D158" s="2226"/>
      <c r="E158" s="2226"/>
      <c r="F158" s="2226"/>
      <c r="G158" s="2226"/>
      <c r="H158" s="2226"/>
      <c r="I158" s="2227">
        <f>SUM('6. sz.melléklet'!I78)</f>
        <v>1300000</v>
      </c>
      <c r="J158" s="2227"/>
      <c r="K158" s="2227"/>
      <c r="L158" s="2227"/>
      <c r="M158" s="2228"/>
      <c r="N158" s="2206">
        <f t="shared" si="8"/>
        <v>1300000</v>
      </c>
    </row>
    <row r="159" spans="1:14" s="779" customFormat="1" ht="0.15" customHeight="1" x14ac:dyDescent="0.15">
      <c r="A159" s="834"/>
      <c r="B159" s="841" t="s">
        <v>355</v>
      </c>
      <c r="C159" s="2229"/>
      <c r="D159" s="2229"/>
      <c r="E159" s="2229"/>
      <c r="F159" s="2229"/>
      <c r="G159" s="2229"/>
      <c r="H159" s="2229"/>
      <c r="I159" s="2230"/>
      <c r="J159" s="2230"/>
      <c r="K159" s="2230"/>
      <c r="L159" s="2230"/>
      <c r="M159" s="2231"/>
      <c r="N159" s="2209">
        <f t="shared" ref="N159" si="20">SUM(C159:M159)</f>
        <v>0</v>
      </c>
    </row>
    <row r="160" spans="1:14" s="138" customFormat="1" ht="15" customHeight="1" x14ac:dyDescent="0.15">
      <c r="A160" s="425" t="s">
        <v>265</v>
      </c>
      <c r="B160" s="400" t="s">
        <v>266</v>
      </c>
      <c r="C160" s="2220"/>
      <c r="D160" s="2220"/>
      <c r="E160" s="2220"/>
      <c r="F160" s="2220"/>
      <c r="G160" s="2220"/>
      <c r="H160" s="2220"/>
      <c r="I160" s="2221"/>
      <c r="J160" s="2221"/>
      <c r="K160" s="2221"/>
      <c r="L160" s="2221"/>
      <c r="M160" s="2222"/>
      <c r="N160" s="2212"/>
    </row>
    <row r="161" spans="1:14" s="138" customFormat="1" ht="15" customHeight="1" thickBot="1" x14ac:dyDescent="0.2">
      <c r="A161" s="412"/>
      <c r="B161" s="410" t="s">
        <v>356</v>
      </c>
      <c r="C161" s="2223"/>
      <c r="D161" s="2223"/>
      <c r="E161" s="2223">
        <f>SUM('6. sz.melléklet'!E81)</f>
        <v>4064000</v>
      </c>
      <c r="F161" s="2223"/>
      <c r="G161" s="2223"/>
      <c r="H161" s="2223"/>
      <c r="I161" s="2224"/>
      <c r="J161" s="2224"/>
      <c r="K161" s="2224"/>
      <c r="L161" s="2224"/>
      <c r="M161" s="2225"/>
      <c r="N161" s="2203">
        <f>SUM(C161:M161)</f>
        <v>4064000</v>
      </c>
    </row>
    <row r="162" spans="1:14" s="138" customFormat="1" ht="0.15" customHeight="1" thickBot="1" x14ac:dyDescent="0.2">
      <c r="A162" s="1207"/>
      <c r="B162" s="1206" t="s">
        <v>357</v>
      </c>
      <c r="C162" s="2226"/>
      <c r="D162" s="2226"/>
      <c r="E162" s="2226">
        <f>SUM('6. sz.melléklet'!E82)</f>
        <v>4064000</v>
      </c>
      <c r="F162" s="2226"/>
      <c r="G162" s="2226"/>
      <c r="H162" s="2226"/>
      <c r="I162" s="2227"/>
      <c r="J162" s="2227"/>
      <c r="K162" s="2227"/>
      <c r="L162" s="2227"/>
      <c r="M162" s="2228"/>
      <c r="N162" s="2206">
        <f>SUM(C162:M162)</f>
        <v>4064000</v>
      </c>
    </row>
    <row r="163" spans="1:14" s="779" customFormat="1" ht="0.15" customHeight="1" x14ac:dyDescent="0.15">
      <c r="A163" s="834"/>
      <c r="B163" s="841" t="s">
        <v>355</v>
      </c>
      <c r="C163" s="2229"/>
      <c r="D163" s="2229"/>
      <c r="E163" s="2229"/>
      <c r="F163" s="2229"/>
      <c r="G163" s="2229"/>
      <c r="H163" s="2229"/>
      <c r="I163" s="2230"/>
      <c r="J163" s="2230"/>
      <c r="K163" s="2230"/>
      <c r="L163" s="2230"/>
      <c r="M163" s="2231"/>
      <c r="N163" s="2209">
        <f>SUM(C163:M163)</f>
        <v>0</v>
      </c>
    </row>
    <row r="164" spans="1:14" s="138" customFormat="1" ht="16.8" x14ac:dyDescent="0.15">
      <c r="A164" s="425" t="s">
        <v>279</v>
      </c>
      <c r="B164" s="400" t="s">
        <v>135</v>
      </c>
      <c r="C164" s="2220"/>
      <c r="D164" s="2220"/>
      <c r="E164" s="2220"/>
      <c r="F164" s="2220"/>
      <c r="G164" s="2220"/>
      <c r="H164" s="2220"/>
      <c r="I164" s="2221"/>
      <c r="J164" s="2221"/>
      <c r="K164" s="2221"/>
      <c r="L164" s="2221"/>
      <c r="M164" s="2222"/>
      <c r="N164" s="2212"/>
    </row>
    <row r="165" spans="1:14" s="138" customFormat="1" ht="15" customHeight="1" thickBot="1" x14ac:dyDescent="0.2">
      <c r="A165" s="412"/>
      <c r="B165" s="410" t="s">
        <v>356</v>
      </c>
      <c r="C165" s="2223"/>
      <c r="D165" s="2223"/>
      <c r="E165" s="2223"/>
      <c r="F165" s="2223"/>
      <c r="G165" s="2223"/>
      <c r="H165" s="2223"/>
      <c r="I165" s="2224">
        <f>SUM('6. sz.melléklet'!I85)</f>
        <v>60203000</v>
      </c>
      <c r="J165" s="2224"/>
      <c r="K165" s="2224"/>
      <c r="L165" s="2224"/>
      <c r="M165" s="2225"/>
      <c r="N165" s="2203">
        <f>SUM(C165:M165)</f>
        <v>60203000</v>
      </c>
    </row>
    <row r="166" spans="1:14" s="138" customFormat="1" ht="0.15" customHeight="1" thickBot="1" x14ac:dyDescent="0.2">
      <c r="A166" s="1207"/>
      <c r="B166" s="1206" t="s">
        <v>357</v>
      </c>
      <c r="C166" s="2226"/>
      <c r="D166" s="2226"/>
      <c r="E166" s="2226"/>
      <c r="F166" s="2226"/>
      <c r="G166" s="2226"/>
      <c r="H166" s="2226"/>
      <c r="I166" s="2227">
        <f>SUM('6. sz.melléklet'!I86)</f>
        <v>60203800</v>
      </c>
      <c r="J166" s="2227"/>
      <c r="K166" s="2227"/>
      <c r="L166" s="2227"/>
      <c r="M166" s="2228"/>
      <c r="N166" s="2206">
        <f>SUM(C166:M166)</f>
        <v>60203800</v>
      </c>
    </row>
    <row r="167" spans="1:14" s="779" customFormat="1" ht="0.15" customHeight="1" x14ac:dyDescent="0.15">
      <c r="A167" s="834"/>
      <c r="B167" s="841" t="s">
        <v>355</v>
      </c>
      <c r="C167" s="2229"/>
      <c r="D167" s="2229"/>
      <c r="E167" s="2229"/>
      <c r="F167" s="2229"/>
      <c r="G167" s="2229"/>
      <c r="H167" s="2229"/>
      <c r="I167" s="2230"/>
      <c r="J167" s="2230"/>
      <c r="K167" s="2230"/>
      <c r="L167" s="2230"/>
      <c r="M167" s="2231"/>
      <c r="N167" s="2209">
        <f>SUM(C167:M167)</f>
        <v>0</v>
      </c>
    </row>
    <row r="168" spans="1:14" s="138" customFormat="1" ht="24" customHeight="1" x14ac:dyDescent="0.15">
      <c r="A168" s="425" t="s">
        <v>280</v>
      </c>
      <c r="B168" s="400" t="s">
        <v>281</v>
      </c>
      <c r="C168" s="2220"/>
      <c r="D168" s="2220"/>
      <c r="E168" s="2220"/>
      <c r="F168" s="2220"/>
      <c r="G168" s="2220"/>
      <c r="H168" s="2220"/>
      <c r="I168" s="2221"/>
      <c r="J168" s="2221"/>
      <c r="K168" s="2221"/>
      <c r="L168" s="2221"/>
      <c r="M168" s="2222"/>
      <c r="N168" s="2212"/>
    </row>
    <row r="169" spans="1:14" s="138" customFormat="1" ht="15" customHeight="1" thickBot="1" x14ac:dyDescent="0.2">
      <c r="A169" s="412"/>
      <c r="B169" s="410" t="s">
        <v>356</v>
      </c>
      <c r="C169" s="2223"/>
      <c r="D169" s="2223"/>
      <c r="E169" s="2223"/>
      <c r="F169" s="2223"/>
      <c r="G169" s="2223"/>
      <c r="H169" s="2223"/>
      <c r="I169" s="2224"/>
      <c r="J169" s="2224">
        <f>SUM('6. sz.melléklet'!J89)</f>
        <v>6127431</v>
      </c>
      <c r="K169" s="2224"/>
      <c r="L169" s="2224"/>
      <c r="M169" s="2225"/>
      <c r="N169" s="2203">
        <f>SUM(C169:M169)</f>
        <v>6127431</v>
      </c>
    </row>
    <row r="170" spans="1:14" s="138" customFormat="1" ht="0.15" customHeight="1" thickBot="1" x14ac:dyDescent="0.2">
      <c r="A170" s="1207"/>
      <c r="B170" s="1206" t="s">
        <v>357</v>
      </c>
      <c r="C170" s="2226"/>
      <c r="D170" s="2226"/>
      <c r="E170" s="2226"/>
      <c r="F170" s="2226"/>
      <c r="G170" s="2226"/>
      <c r="H170" s="2226"/>
      <c r="I170" s="2227"/>
      <c r="J170" s="2227">
        <f>SUM('6. sz.melléklet'!J90)</f>
        <v>6127431</v>
      </c>
      <c r="K170" s="2227"/>
      <c r="L170" s="2227"/>
      <c r="M170" s="2228"/>
      <c r="N170" s="2206">
        <f>SUM(C170:M170)</f>
        <v>6127431</v>
      </c>
    </row>
    <row r="171" spans="1:14" s="779" customFormat="1" ht="0.15" customHeight="1" x14ac:dyDescent="0.15">
      <c r="A171" s="834"/>
      <c r="B171" s="841" t="s">
        <v>355</v>
      </c>
      <c r="C171" s="2229"/>
      <c r="D171" s="2229"/>
      <c r="E171" s="2229"/>
      <c r="F171" s="2229"/>
      <c r="G171" s="2229"/>
      <c r="H171" s="2229"/>
      <c r="I171" s="2230"/>
      <c r="J171" s="2230"/>
      <c r="K171" s="2230"/>
      <c r="L171" s="2230"/>
      <c r="M171" s="2231"/>
      <c r="N171" s="2209">
        <f>SUM(C171:M171)</f>
        <v>0</v>
      </c>
    </row>
    <row r="172" spans="1:14" s="138" customFormat="1" ht="15" customHeight="1" x14ac:dyDescent="0.15">
      <c r="A172" s="425" t="s">
        <v>387</v>
      </c>
      <c r="B172" s="400" t="s">
        <v>399</v>
      </c>
      <c r="C172" s="2220"/>
      <c r="D172" s="2220"/>
      <c r="E172" s="2220"/>
      <c r="F172" s="2220"/>
      <c r="G172" s="2220"/>
      <c r="H172" s="2220"/>
      <c r="I172" s="2221"/>
      <c r="J172" s="2221"/>
      <c r="K172" s="2221"/>
      <c r="L172" s="2221"/>
      <c r="M172" s="2222"/>
      <c r="N172" s="2212"/>
    </row>
    <row r="173" spans="1:14" s="138" customFormat="1" ht="15" customHeight="1" thickBot="1" x14ac:dyDescent="0.2">
      <c r="A173" s="412"/>
      <c r="B173" s="410" t="s">
        <v>356</v>
      </c>
      <c r="C173" s="2223"/>
      <c r="D173" s="2223"/>
      <c r="E173" s="2223">
        <f>SUM('6. sz.melléklet'!E93)</f>
        <v>21231000</v>
      </c>
      <c r="F173" s="2223"/>
      <c r="G173" s="2223"/>
      <c r="H173" s="2223"/>
      <c r="I173" s="2224"/>
      <c r="J173" s="2224"/>
      <c r="K173" s="2224"/>
      <c r="L173" s="2224"/>
      <c r="M173" s="2225"/>
      <c r="N173" s="2203">
        <f>SUM(C173:M173)</f>
        <v>21231000</v>
      </c>
    </row>
    <row r="174" spans="1:14" s="138" customFormat="1" ht="0.15" customHeight="1" thickBot="1" x14ac:dyDescent="0.2">
      <c r="A174" s="1207"/>
      <c r="B174" s="1206" t="s">
        <v>357</v>
      </c>
      <c r="C174" s="2226"/>
      <c r="D174" s="2226"/>
      <c r="E174" s="2226">
        <f>SUM('6. sz.melléklet'!E94)</f>
        <v>21231000</v>
      </c>
      <c r="F174" s="2226"/>
      <c r="G174" s="2226"/>
      <c r="H174" s="2226"/>
      <c r="I174" s="2227"/>
      <c r="J174" s="2227"/>
      <c r="K174" s="2227"/>
      <c r="L174" s="2227"/>
      <c r="M174" s="2228"/>
      <c r="N174" s="2206">
        <f>SUM(C174:M174)</f>
        <v>21231000</v>
      </c>
    </row>
    <row r="175" spans="1:14" s="779" customFormat="1" ht="0.15" customHeight="1" x14ac:dyDescent="0.15">
      <c r="A175" s="834"/>
      <c r="B175" s="841" t="s">
        <v>355</v>
      </c>
      <c r="C175" s="2229"/>
      <c r="D175" s="2229"/>
      <c r="E175" s="2229"/>
      <c r="F175" s="2229"/>
      <c r="G175" s="2229"/>
      <c r="H175" s="2229"/>
      <c r="I175" s="2230"/>
      <c r="J175" s="2230"/>
      <c r="K175" s="2230"/>
      <c r="L175" s="2230"/>
      <c r="M175" s="2231"/>
      <c r="N175" s="2209">
        <f>SUM(C175:M175)</f>
        <v>0</v>
      </c>
    </row>
    <row r="176" spans="1:14" s="2109" customFormat="1" ht="20.25" customHeight="1" x14ac:dyDescent="0.15">
      <c r="A176" s="2112" t="s">
        <v>537</v>
      </c>
      <c r="B176" s="2113" t="s">
        <v>538</v>
      </c>
      <c r="C176" s="2237"/>
      <c r="D176" s="2237"/>
      <c r="E176" s="2237"/>
      <c r="F176" s="2237"/>
      <c r="G176" s="2237"/>
      <c r="H176" s="2237"/>
      <c r="I176" s="2238"/>
      <c r="J176" s="2238"/>
      <c r="K176" s="2238"/>
      <c r="L176" s="2238"/>
      <c r="M176" s="2239"/>
      <c r="N176" s="2240"/>
    </row>
    <row r="177" spans="1:14" s="2109" customFormat="1" ht="15" customHeight="1" thickBot="1" x14ac:dyDescent="0.2">
      <c r="A177" s="2110"/>
      <c r="B177" s="2111" t="s">
        <v>356</v>
      </c>
      <c r="C177" s="2241"/>
      <c r="D177" s="2241"/>
      <c r="E177" s="2241">
        <f>'6. sz.melléklet'!E97</f>
        <v>4499483</v>
      </c>
      <c r="F177" s="2241"/>
      <c r="G177" s="2241"/>
      <c r="H177" s="2241">
        <f>SUM('6. sz.melléklet'!H97)</f>
        <v>448624239</v>
      </c>
      <c r="I177" s="2242"/>
      <c r="J177" s="2242"/>
      <c r="K177" s="2242"/>
      <c r="L177" s="2242"/>
      <c r="M177" s="2243"/>
      <c r="N177" s="2244">
        <f>SUM(C177:M177)</f>
        <v>453123722</v>
      </c>
    </row>
    <row r="178" spans="1:14" s="138" customFormat="1" ht="16.8" x14ac:dyDescent="0.15">
      <c r="A178" s="402" t="s">
        <v>453</v>
      </c>
      <c r="B178" s="763" t="s">
        <v>454</v>
      </c>
      <c r="C178" s="2245"/>
      <c r="D178" s="2245"/>
      <c r="E178" s="2245"/>
      <c r="F178" s="2245"/>
      <c r="G178" s="2245"/>
      <c r="H178" s="2245"/>
      <c r="I178" s="2246"/>
      <c r="J178" s="2246"/>
      <c r="K178" s="2246"/>
      <c r="L178" s="2246"/>
      <c r="M178" s="2247"/>
      <c r="N178" s="2212"/>
    </row>
    <row r="179" spans="1:14" s="138" customFormat="1" ht="15" customHeight="1" thickBot="1" x14ac:dyDescent="0.2">
      <c r="A179" s="748"/>
      <c r="B179" s="381" t="s">
        <v>356</v>
      </c>
      <c r="C179" s="2223"/>
      <c r="D179" s="2223"/>
      <c r="E179" s="2223">
        <f>SUM('6. sz.melléklet'!E99)</f>
        <v>603000</v>
      </c>
      <c r="F179" s="2223"/>
      <c r="G179" s="2223"/>
      <c r="H179" s="2223"/>
      <c r="I179" s="2224"/>
      <c r="J179" s="2224"/>
      <c r="K179" s="2224"/>
      <c r="L179" s="2224"/>
      <c r="M179" s="2225"/>
      <c r="N179" s="2203">
        <f>SUM(E179:M179)</f>
        <v>603000</v>
      </c>
    </row>
    <row r="180" spans="1:14" s="138" customFormat="1" ht="0.15" customHeight="1" thickBot="1" x14ac:dyDescent="0.2">
      <c r="A180" s="1177"/>
      <c r="B180" s="1176" t="s">
        <v>357</v>
      </c>
      <c r="C180" s="2226"/>
      <c r="D180" s="2226"/>
      <c r="E180" s="2226">
        <f>SUM('6. sz.melléklet'!E100)</f>
        <v>603000</v>
      </c>
      <c r="F180" s="2226"/>
      <c r="G180" s="2226"/>
      <c r="H180" s="2226"/>
      <c r="I180" s="2227"/>
      <c r="J180" s="2227"/>
      <c r="K180" s="2227"/>
      <c r="L180" s="2227"/>
      <c r="M180" s="2228"/>
      <c r="N180" s="2206">
        <f>SUM(E180:M180)</f>
        <v>603000</v>
      </c>
    </row>
    <row r="181" spans="1:14" s="138" customFormat="1" ht="0.15" customHeight="1" x14ac:dyDescent="0.15">
      <c r="A181" s="1085"/>
      <c r="B181" s="1086"/>
      <c r="C181" s="2248"/>
      <c r="D181" s="2248"/>
      <c r="E181" s="2248"/>
      <c r="F181" s="2248"/>
      <c r="G181" s="2248"/>
      <c r="H181" s="2248"/>
      <c r="I181" s="2249"/>
      <c r="J181" s="2249"/>
      <c r="K181" s="2249"/>
      <c r="L181" s="2249"/>
      <c r="M181" s="2250"/>
      <c r="N181" s="2251"/>
    </row>
    <row r="182" spans="1:14" s="138" customFormat="1" ht="15" customHeight="1" x14ac:dyDescent="0.15">
      <c r="A182" s="425" t="s">
        <v>267</v>
      </c>
      <c r="B182" s="400" t="s">
        <v>113</v>
      </c>
      <c r="C182" s="2220"/>
      <c r="D182" s="2220"/>
      <c r="E182" s="2220"/>
      <c r="F182" s="2220"/>
      <c r="G182" s="2220"/>
      <c r="H182" s="2220"/>
      <c r="I182" s="2221"/>
      <c r="J182" s="2221"/>
      <c r="K182" s="2221"/>
      <c r="L182" s="2221"/>
      <c r="M182" s="2222"/>
      <c r="N182" s="2236"/>
    </row>
    <row r="183" spans="1:14" s="138" customFormat="1" ht="15" customHeight="1" thickBot="1" x14ac:dyDescent="0.2">
      <c r="A183" s="412"/>
      <c r="B183" s="410" t="s">
        <v>356</v>
      </c>
      <c r="C183" s="2223"/>
      <c r="D183" s="2223"/>
      <c r="E183" s="2223">
        <f>SUM('6. sz.melléklet'!E103)</f>
        <v>1092000</v>
      </c>
      <c r="F183" s="2223"/>
      <c r="G183" s="2223"/>
      <c r="H183" s="2223"/>
      <c r="I183" s="2224"/>
      <c r="J183" s="2224"/>
      <c r="K183" s="2224"/>
      <c r="L183" s="2224"/>
      <c r="M183" s="2225"/>
      <c r="N183" s="2203">
        <f>SUM(C183:M183)</f>
        <v>1092000</v>
      </c>
    </row>
    <row r="184" spans="1:14" s="138" customFormat="1" ht="0.15" customHeight="1" thickBot="1" x14ac:dyDescent="0.2">
      <c r="A184" s="1207"/>
      <c r="B184" s="1206" t="s">
        <v>357</v>
      </c>
      <c r="C184" s="2226"/>
      <c r="D184" s="2226"/>
      <c r="E184" s="2226"/>
      <c r="F184" s="2226"/>
      <c r="G184" s="2226"/>
      <c r="H184" s="2226"/>
      <c r="I184" s="2227"/>
      <c r="J184" s="2227"/>
      <c r="K184" s="2227"/>
      <c r="L184" s="2227"/>
      <c r="M184" s="2228"/>
      <c r="N184" s="2206">
        <f>SUM(C184:M184)</f>
        <v>0</v>
      </c>
    </row>
    <row r="185" spans="1:14" s="779" customFormat="1" ht="0.15" customHeight="1" x14ac:dyDescent="0.15">
      <c r="A185" s="834"/>
      <c r="B185" s="841" t="s">
        <v>355</v>
      </c>
      <c r="C185" s="2229"/>
      <c r="D185" s="2229"/>
      <c r="E185" s="2229"/>
      <c r="F185" s="2229"/>
      <c r="G185" s="2229"/>
      <c r="H185" s="2229"/>
      <c r="I185" s="2230"/>
      <c r="J185" s="2230"/>
      <c r="K185" s="2230"/>
      <c r="L185" s="2230"/>
      <c r="M185" s="2231"/>
      <c r="N185" s="2209">
        <f>SUM(C185:M185)</f>
        <v>0</v>
      </c>
    </row>
    <row r="186" spans="1:14" s="138" customFormat="1" ht="12.9" customHeight="1" x14ac:dyDescent="0.15">
      <c r="A186" s="425" t="s">
        <v>268</v>
      </c>
      <c r="B186" s="400" t="s">
        <v>269</v>
      </c>
      <c r="C186" s="2220"/>
      <c r="D186" s="2220"/>
      <c r="E186" s="2220"/>
      <c r="F186" s="2220"/>
      <c r="G186" s="2220"/>
      <c r="H186" s="2220"/>
      <c r="I186" s="2221"/>
      <c r="J186" s="2221"/>
      <c r="K186" s="2221"/>
      <c r="L186" s="2221"/>
      <c r="M186" s="2222"/>
      <c r="N186" s="2212"/>
    </row>
    <row r="187" spans="1:14" s="138" customFormat="1" ht="12.9" customHeight="1" thickBot="1" x14ac:dyDescent="0.2">
      <c r="A187" s="412"/>
      <c r="B187" s="410" t="s">
        <v>356</v>
      </c>
      <c r="C187" s="2223"/>
      <c r="D187" s="2223"/>
      <c r="E187" s="2223"/>
      <c r="F187" s="2223">
        <f>SUM('6. sz.melléklet'!F107)</f>
        <v>202000</v>
      </c>
      <c r="G187" s="2223"/>
      <c r="H187" s="2223"/>
      <c r="I187" s="2224"/>
      <c r="J187" s="2224"/>
      <c r="K187" s="2224"/>
      <c r="L187" s="2224"/>
      <c r="M187" s="2225"/>
      <c r="N187" s="2203">
        <f>SUM(C187:M187)</f>
        <v>202000</v>
      </c>
    </row>
    <row r="188" spans="1:14" s="138" customFormat="1" ht="0.15" customHeight="1" thickBot="1" x14ac:dyDescent="0.2">
      <c r="A188" s="1207"/>
      <c r="B188" s="1206" t="s">
        <v>357</v>
      </c>
      <c r="C188" s="2226"/>
      <c r="D188" s="2226"/>
      <c r="E188" s="2226"/>
      <c r="F188" s="2226">
        <f>SUM('6. sz.melléklet'!F108)</f>
        <v>202000</v>
      </c>
      <c r="G188" s="2226"/>
      <c r="H188" s="2226"/>
      <c r="I188" s="2227"/>
      <c r="J188" s="2227"/>
      <c r="K188" s="2227"/>
      <c r="L188" s="2227"/>
      <c r="M188" s="2228"/>
      <c r="N188" s="2206">
        <f>SUM(C188:M188)</f>
        <v>202000</v>
      </c>
    </row>
    <row r="189" spans="1:14" s="779" customFormat="1" ht="0.15" customHeight="1" x14ac:dyDescent="0.15">
      <c r="A189" s="834"/>
      <c r="B189" s="841" t="s">
        <v>355</v>
      </c>
      <c r="C189" s="2229"/>
      <c r="D189" s="2229"/>
      <c r="E189" s="2229"/>
      <c r="F189" s="2229"/>
      <c r="G189" s="2229"/>
      <c r="H189" s="2229"/>
      <c r="I189" s="2230"/>
      <c r="J189" s="2230"/>
      <c r="K189" s="2230"/>
      <c r="L189" s="2230"/>
      <c r="M189" s="2231"/>
      <c r="N189" s="2209">
        <f>SUM(C189:M189)</f>
        <v>0</v>
      </c>
    </row>
    <row r="190" spans="1:14" s="779" customFormat="1" ht="12.9" customHeight="1" x14ac:dyDescent="0.15">
      <c r="A190" s="425" t="s">
        <v>493</v>
      </c>
      <c r="B190" s="400" t="s">
        <v>494</v>
      </c>
      <c r="C190" s="2220"/>
      <c r="D190" s="2220"/>
      <c r="E190" s="2220"/>
      <c r="F190" s="2220"/>
      <c r="G190" s="2220"/>
      <c r="H190" s="2220"/>
      <c r="I190" s="2221"/>
      <c r="J190" s="2221"/>
      <c r="K190" s="2221"/>
      <c r="L190" s="2221"/>
      <c r="M190" s="2221"/>
      <c r="N190" s="2252"/>
    </row>
    <row r="191" spans="1:14" s="779" customFormat="1" ht="12.9" customHeight="1" thickBot="1" x14ac:dyDescent="0.2">
      <c r="A191" s="412"/>
      <c r="B191" s="410" t="s">
        <v>356</v>
      </c>
      <c r="C191" s="2223"/>
      <c r="D191" s="2223"/>
      <c r="E191" s="2223"/>
      <c r="F191" s="2223">
        <f>SUM('6. sz.melléklet'!F111)</f>
        <v>0</v>
      </c>
      <c r="G191" s="2223"/>
      <c r="H191" s="2223"/>
      <c r="I191" s="2224"/>
      <c r="J191" s="2224"/>
      <c r="K191" s="2224"/>
      <c r="L191" s="2224"/>
      <c r="M191" s="2224"/>
      <c r="N191" s="2253">
        <f t="shared" ref="N191" si="21">SUM(C191:M191)</f>
        <v>0</v>
      </c>
    </row>
    <row r="192" spans="1:14" s="779" customFormat="1" ht="0.15" customHeight="1" x14ac:dyDescent="0.15">
      <c r="A192" s="834"/>
      <c r="B192" s="841"/>
      <c r="C192" s="2229"/>
      <c r="D192" s="2229"/>
      <c r="E192" s="2229"/>
      <c r="F192" s="2229"/>
      <c r="G192" s="2229"/>
      <c r="H192" s="2229"/>
      <c r="I192" s="2230"/>
      <c r="J192" s="2230"/>
      <c r="K192" s="2230"/>
      <c r="L192" s="2230"/>
      <c r="M192" s="2231"/>
      <c r="N192" s="2209"/>
    </row>
    <row r="193" spans="1:17" s="779" customFormat="1" ht="0.15" customHeight="1" x14ac:dyDescent="0.15">
      <c r="A193" s="834"/>
      <c r="B193" s="841"/>
      <c r="C193" s="2229"/>
      <c r="D193" s="2229"/>
      <c r="E193" s="2229"/>
      <c r="F193" s="2229"/>
      <c r="G193" s="2229"/>
      <c r="H193" s="2229"/>
      <c r="I193" s="2230"/>
      <c r="J193" s="2230"/>
      <c r="K193" s="2230"/>
      <c r="L193" s="2230"/>
      <c r="M193" s="2231"/>
      <c r="N193" s="2209"/>
    </row>
    <row r="194" spans="1:17" s="138" customFormat="1" ht="12.9" customHeight="1" x14ac:dyDescent="0.15">
      <c r="A194" s="425" t="s">
        <v>270</v>
      </c>
      <c r="B194" s="400" t="s">
        <v>271</v>
      </c>
      <c r="C194" s="2220"/>
      <c r="D194" s="2220"/>
      <c r="E194" s="2220"/>
      <c r="F194" s="2220"/>
      <c r="G194" s="2220"/>
      <c r="H194" s="2220"/>
      <c r="I194" s="2221"/>
      <c r="J194" s="2221"/>
      <c r="K194" s="2221"/>
      <c r="L194" s="2221"/>
      <c r="M194" s="2222"/>
      <c r="N194" s="2212"/>
    </row>
    <row r="195" spans="1:17" s="138" customFormat="1" ht="12.9" customHeight="1" thickBot="1" x14ac:dyDescent="0.2">
      <c r="A195" s="412"/>
      <c r="B195" s="410" t="s">
        <v>356</v>
      </c>
      <c r="C195" s="2223"/>
      <c r="D195" s="2223"/>
      <c r="E195" s="2223"/>
      <c r="F195" s="2223">
        <f>SUM('6. sz.melléklet'!F115)</f>
        <v>0</v>
      </c>
      <c r="G195" s="2223"/>
      <c r="H195" s="2223"/>
      <c r="I195" s="2224"/>
      <c r="J195" s="2224"/>
      <c r="K195" s="2224"/>
      <c r="L195" s="2224"/>
      <c r="M195" s="2225"/>
      <c r="N195" s="2203">
        <f>SUM(C195:M195)</f>
        <v>0</v>
      </c>
    </row>
    <row r="196" spans="1:17" s="138" customFormat="1" ht="0.15" customHeight="1" thickBot="1" x14ac:dyDescent="0.2">
      <c r="A196" s="1207"/>
      <c r="B196" s="1206" t="s">
        <v>357</v>
      </c>
      <c r="C196" s="2226"/>
      <c r="D196" s="2226"/>
      <c r="E196" s="2226"/>
      <c r="F196" s="2226">
        <f>SUM('6. sz.melléklet'!F116)</f>
        <v>0</v>
      </c>
      <c r="G196" s="2226"/>
      <c r="H196" s="2226"/>
      <c r="I196" s="2227"/>
      <c r="J196" s="2227"/>
      <c r="K196" s="2227"/>
      <c r="L196" s="2227"/>
      <c r="M196" s="2228"/>
      <c r="N196" s="2206">
        <f>SUM(C196:M196)</f>
        <v>0</v>
      </c>
    </row>
    <row r="197" spans="1:17" s="779" customFormat="1" ht="0.15" customHeight="1" x14ac:dyDescent="0.15">
      <c r="A197" s="834"/>
      <c r="B197" s="841" t="s">
        <v>355</v>
      </c>
      <c r="C197" s="2229"/>
      <c r="D197" s="2229"/>
      <c r="E197" s="2229"/>
      <c r="F197" s="2229"/>
      <c r="G197" s="2229"/>
      <c r="H197" s="2229"/>
      <c r="I197" s="2230"/>
      <c r="J197" s="2230"/>
      <c r="K197" s="2230"/>
      <c r="L197" s="2230"/>
      <c r="M197" s="2231"/>
      <c r="N197" s="2209">
        <f>SUM(C197:M197)</f>
        <v>0</v>
      </c>
    </row>
    <row r="198" spans="1:17" s="138" customFormat="1" ht="22.5" customHeight="1" x14ac:dyDescent="0.15">
      <c r="A198" s="425" t="s">
        <v>272</v>
      </c>
      <c r="B198" s="400" t="s">
        <v>273</v>
      </c>
      <c r="C198" s="2220"/>
      <c r="D198" s="2220"/>
      <c r="E198" s="2220"/>
      <c r="F198" s="2220"/>
      <c r="G198" s="2220"/>
      <c r="H198" s="2220"/>
      <c r="I198" s="2221"/>
      <c r="J198" s="2221"/>
      <c r="K198" s="2221"/>
      <c r="L198" s="2221"/>
      <c r="M198" s="2222"/>
      <c r="N198" s="2212"/>
    </row>
    <row r="199" spans="1:17" s="138" customFormat="1" ht="15" customHeight="1" thickBot="1" x14ac:dyDescent="0.2">
      <c r="A199" s="412"/>
      <c r="B199" s="410" t="s">
        <v>356</v>
      </c>
      <c r="C199" s="2223"/>
      <c r="D199" s="2223"/>
      <c r="E199" s="2223"/>
      <c r="F199" s="2223">
        <f>SUM('6. sz.melléklet'!F123)</f>
        <v>21646000</v>
      </c>
      <c r="G199" s="2223"/>
      <c r="H199" s="2223"/>
      <c r="I199" s="2224">
        <f>'6. sz.melléklet'!I123</f>
        <v>390000</v>
      </c>
      <c r="J199" s="2224"/>
      <c r="K199" s="2224"/>
      <c r="L199" s="2224"/>
      <c r="M199" s="2225"/>
      <c r="N199" s="2203">
        <f>SUM(C199:M199)</f>
        <v>22036000</v>
      </c>
    </row>
    <row r="200" spans="1:17" s="138" customFormat="1" ht="0.15" customHeight="1" thickBot="1" x14ac:dyDescent="0.2">
      <c r="A200" s="1207"/>
      <c r="B200" s="1206" t="s">
        <v>357</v>
      </c>
      <c r="C200" s="2226"/>
      <c r="D200" s="2226"/>
      <c r="E200" s="2226"/>
      <c r="F200" s="2226">
        <f>SUM('6. sz.melléklet'!F124)</f>
        <v>21649762</v>
      </c>
      <c r="G200" s="2226"/>
      <c r="H200" s="2226"/>
      <c r="I200" s="2227"/>
      <c r="J200" s="2227"/>
      <c r="K200" s="2227"/>
      <c r="L200" s="2227"/>
      <c r="M200" s="2228"/>
      <c r="N200" s="2206">
        <f>SUM(C200:M200)</f>
        <v>21649762</v>
      </c>
    </row>
    <row r="201" spans="1:17" s="779" customFormat="1" ht="0.15" customHeight="1" x14ac:dyDescent="0.15">
      <c r="A201" s="834"/>
      <c r="B201" s="841" t="s">
        <v>355</v>
      </c>
      <c r="C201" s="2229"/>
      <c r="D201" s="2229"/>
      <c r="E201" s="2229"/>
      <c r="F201" s="2229"/>
      <c r="G201" s="2229"/>
      <c r="H201" s="2229"/>
      <c r="I201" s="2230"/>
      <c r="J201" s="2230"/>
      <c r="K201" s="2230"/>
      <c r="L201" s="2230"/>
      <c r="M201" s="2231"/>
      <c r="N201" s="2209">
        <f>SUM(C201:M201)</f>
        <v>0</v>
      </c>
    </row>
    <row r="202" spans="1:17" s="138" customFormat="1" ht="15" customHeight="1" x14ac:dyDescent="0.15">
      <c r="A202" s="425" t="s">
        <v>278</v>
      </c>
      <c r="B202" s="400" t="s">
        <v>109</v>
      </c>
      <c r="C202" s="2220"/>
      <c r="D202" s="2220"/>
      <c r="E202" s="2220"/>
      <c r="F202" s="2220"/>
      <c r="G202" s="2220"/>
      <c r="H202" s="2220"/>
      <c r="I202" s="2221"/>
      <c r="J202" s="2221"/>
      <c r="K202" s="2221"/>
      <c r="L202" s="2221"/>
      <c r="M202" s="2222"/>
      <c r="N202" s="2212"/>
    </row>
    <row r="203" spans="1:17" s="138" customFormat="1" ht="15" customHeight="1" thickBot="1" x14ac:dyDescent="0.2">
      <c r="A203" s="807"/>
      <c r="B203" s="806" t="s">
        <v>356</v>
      </c>
      <c r="C203" s="2254"/>
      <c r="D203" s="2254"/>
      <c r="E203" s="2254"/>
      <c r="F203" s="2254"/>
      <c r="G203" s="2254"/>
      <c r="H203" s="2254"/>
      <c r="I203" s="2255"/>
      <c r="J203" s="2255"/>
      <c r="K203" s="2255"/>
      <c r="L203" s="2255"/>
      <c r="M203" s="2256">
        <f>SUM('6. sz.melléklet'!M127)</f>
        <v>100000000</v>
      </c>
      <c r="N203" s="2257">
        <f>SUM(C203:M203)</f>
        <v>100000000</v>
      </c>
    </row>
    <row r="204" spans="1:17" s="138" customFormat="1" ht="0.15" customHeight="1" thickBot="1" x14ac:dyDescent="0.2">
      <c r="A204" s="412"/>
      <c r="B204" s="410" t="s">
        <v>357</v>
      </c>
      <c r="C204" s="2223"/>
      <c r="D204" s="2223"/>
      <c r="E204" s="2223"/>
      <c r="F204" s="2223"/>
      <c r="G204" s="2223"/>
      <c r="H204" s="2223"/>
      <c r="I204" s="2224"/>
      <c r="J204" s="2224"/>
      <c r="K204" s="2224"/>
      <c r="L204" s="2224"/>
      <c r="M204" s="2225">
        <f>SUM('6. sz.melléklet'!M128)</f>
        <v>148750</v>
      </c>
      <c r="N204" s="2203">
        <f>SUM(C204:M204)</f>
        <v>148750</v>
      </c>
    </row>
    <row r="205" spans="1:17" s="779" customFormat="1" ht="0.15" customHeight="1" thickBot="1" x14ac:dyDescent="0.2">
      <c r="A205" s="834"/>
      <c r="B205" s="841" t="s">
        <v>355</v>
      </c>
      <c r="C205" s="2229"/>
      <c r="D205" s="2229"/>
      <c r="E205" s="2229"/>
      <c r="F205" s="2229"/>
      <c r="G205" s="2229"/>
      <c r="H205" s="2229"/>
      <c r="I205" s="2230"/>
      <c r="J205" s="2230"/>
      <c r="K205" s="2230"/>
      <c r="L205" s="2230"/>
      <c r="M205" s="2231"/>
      <c r="N205" s="2209">
        <f>SUM(C205:M205)</f>
        <v>0</v>
      </c>
    </row>
    <row r="206" spans="1:17" s="138" customFormat="1" ht="15" customHeight="1" thickBot="1" x14ac:dyDescent="0.3">
      <c r="A206" s="2582" t="s">
        <v>373</v>
      </c>
      <c r="B206" s="2583"/>
      <c r="C206" s="2258"/>
      <c r="D206" s="2258"/>
      <c r="E206" s="2258"/>
      <c r="F206" s="2258"/>
      <c r="G206" s="2258"/>
      <c r="H206" s="2258"/>
      <c r="I206" s="2258"/>
      <c r="J206" s="2258"/>
      <c r="K206" s="2258"/>
      <c r="L206" s="2258"/>
      <c r="M206" s="2259"/>
      <c r="N206" s="2260"/>
      <c r="O206" s="407"/>
      <c r="P206" s="405"/>
    </row>
    <row r="207" spans="1:17" s="138" customFormat="1" ht="15" customHeight="1" thickBot="1" x14ac:dyDescent="0.2">
      <c r="A207" s="1210"/>
      <c r="B207" s="1211" t="s">
        <v>356</v>
      </c>
      <c r="C207" s="2261">
        <f>SUM(C203+C199+C195+C187+C183+C179+C173+C169+C165+C161+C157+C153+C149+C145+C141+C137+C133+C129+C125+C121+C117+C109+C105+C101+C113+C191+C177)</f>
        <v>36947000</v>
      </c>
      <c r="D207" s="2261">
        <f t="shared" ref="D207:M207" si="22">SUM(D203+D199+D195+D187+D183+D179+D173+D169+D165+D161+D157+D153+D149+D145+D141+D137+D133+D129+D125+D121+D117+D109+D105+D101+D113+D191+D177)</f>
        <v>9438000</v>
      </c>
      <c r="E207" s="2261">
        <f t="shared" si="22"/>
        <v>173517693</v>
      </c>
      <c r="F207" s="2261">
        <f t="shared" si="22"/>
        <v>21848000</v>
      </c>
      <c r="G207" s="2261">
        <f t="shared" si="22"/>
        <v>294039503</v>
      </c>
      <c r="H207" s="2261">
        <f t="shared" si="22"/>
        <v>897562627</v>
      </c>
      <c r="I207" s="2261">
        <f>SUM(I203+I199+I195+I187+I183+I179+I173+I169+I165+I161+I157+I153+I149+I145+I141+I137+I133+I129+I125+I121+I117+I109+I105+I101+I113+I191+I177)</f>
        <v>110732760</v>
      </c>
      <c r="J207" s="2261">
        <f t="shared" si="22"/>
        <v>6127431</v>
      </c>
      <c r="K207" s="2261">
        <f t="shared" si="22"/>
        <v>3461428</v>
      </c>
      <c r="L207" s="2261">
        <f t="shared" si="22"/>
        <v>77670856</v>
      </c>
      <c r="M207" s="2261">
        <f t="shared" si="22"/>
        <v>552696365</v>
      </c>
      <c r="N207" s="2261">
        <f>SUM(N203+N199+N195+N187+N183+N179+N173+N169+N165+N161+N157+N153+N149+N145+N141+N137+N133+N129+N125+N121+N117+N109+N105+N101+N113+N191+N177)</f>
        <v>2184041663</v>
      </c>
      <c r="O207" s="407"/>
      <c r="P207" s="405"/>
      <c r="Q207" s="407"/>
    </row>
    <row r="208" spans="1:17" s="138" customFormat="1" ht="0.15" customHeight="1" thickBot="1" x14ac:dyDescent="0.2">
      <c r="A208" s="1208"/>
      <c r="B208" s="1209" t="s">
        <v>357</v>
      </c>
      <c r="C208" s="2187" t="e">
        <f>SUM(#REF!+C204+C200+#REF!+C196+#REF!+C188+C184+C180+C174+C170+C166+C162+C158+#REF!+C154+C150+C146+C142+C138+#REF!+C134+C130+C126+C122+C119+C110+C106+#REF!+C102)</f>
        <v>#REF!</v>
      </c>
      <c r="D208" s="2187" t="e">
        <f>SUM(#REF!+D204+D200+#REF!+D196+#REF!+D188+D184+D180+D174+D170+D166+D162+D158+#REF!+D154+D150+D146+D142+D138+#REF!+D134+D130+D126+D122+D119+D110+D106+#REF!+D102)</f>
        <v>#REF!</v>
      </c>
      <c r="E208" s="2187" t="e">
        <f>SUM(#REF!+E204+E200+#REF!+E196+#REF!+E188+E184+E180+E174+E170+E166+E162+E158+#REF!+E154+E150+E146+E142+E138+#REF!+E134+E130+E126+E122+E119+E110+E106+#REF!+E102)</f>
        <v>#REF!</v>
      </c>
      <c r="F208" s="2187" t="e">
        <f>SUM(#REF!+F204+F200+#REF!+F196+#REF!+F188+F184+F180+F174+F170+F166+F162+F158+#REF!+F154+F150+F146+F142+F138+#REF!+F134+F130+F126+F122+F119+F110+F106+#REF!+F102)</f>
        <v>#REF!</v>
      </c>
      <c r="G208" s="2187" t="e">
        <f>SUM(#REF!+G204+G200+#REF!+G196+#REF!+G188+G184+G180+G174+G170+G166+G162+G158+#REF!+G154+G150+G146+G142+G138+#REF!+G134+G130+G126+G122+G119+G110+G106+#REF!+G102)</f>
        <v>#REF!</v>
      </c>
      <c r="H208" s="2187" t="e">
        <f>SUM(#REF!+H204+H200+#REF!+H196+#REF!+H188+H184+H180+H174+H170+H166+H162+H158+#REF!+H154+H150+H146+H142+H138+#REF!+H134+H130+H126+H122+H119+H110+H106+#REF!+H102)</f>
        <v>#REF!</v>
      </c>
      <c r="I208" s="2187" t="e">
        <f>SUM(#REF!+I204+I200+#REF!+I196+#REF!+I188+I184+I180+I174+I170+I166+I162+I158+#REF!+I154+I150+I146+I142+I138+#REF!+I134+I130+I126+I122+I119+I110+I106+#REF!+I102)</f>
        <v>#REF!</v>
      </c>
      <c r="J208" s="2187" t="e">
        <f>SUM(#REF!+J204+J200+#REF!+J196+#REF!+J188+J184+J180+J174+J170+J166+J162+J158+#REF!+J154+J150+J146+J142+J138+#REF!+J134+J130+J126+J122+J119+J110+J106+#REF!+J102)</f>
        <v>#REF!</v>
      </c>
      <c r="K208" s="2187" t="e">
        <f>SUM(#REF!+K204+K200+#REF!+K196+#REF!+K188+K184+K180+K174+K170+K166+K162+K158+#REF!+K154+K150+K146+K142+K138+#REF!+K134+K130+K126+K122+K119+K110+K106+#REF!+K102)</f>
        <v>#REF!</v>
      </c>
      <c r="L208" s="2187" t="e">
        <f>SUM(#REF!+L204+L200+#REF!+L196+#REF!+L188+L184+L180+L174+L170+L166+L162+L158+#REF!+L154+L150+L146+L142+L138+#REF!+L134+L130+L126+L122+L119+L110+L106+#REF!+L102)</f>
        <v>#REF!</v>
      </c>
      <c r="M208" s="2262" t="e">
        <f>SUM(#REF!+M204+M200+#REF!+M196+#REF!+M188+M184+M180+M174+M170+M166+M162+M158+#REF!+M154+M150+M146+M142+M138+#REF!+M134+M130+M126+M122+M119+M110+M106+#REF!+M102+M118)</f>
        <v>#REF!</v>
      </c>
      <c r="N208" s="2263" t="e">
        <f>SUM(#REF!+N204+N200+#REF!+N196+#REF!+N188+N184+N174+N170+N166+N162+N158+#REF!+N154+N150+N146+N142+N138+#REF!+N134+N130+N126+N122+N118+N110+N106+N102+N180+#REF!)</f>
        <v>#REF!</v>
      </c>
      <c r="O208" s="407"/>
      <c r="P208" s="405"/>
      <c r="Q208" s="407"/>
    </row>
    <row r="209" spans="1:17" s="779" customFormat="1" ht="0.15" customHeight="1" thickBot="1" x14ac:dyDescent="0.2">
      <c r="A209" s="828"/>
      <c r="B209" s="835" t="s">
        <v>355</v>
      </c>
      <c r="C209" s="2264"/>
      <c r="D209" s="2264"/>
      <c r="E209" s="2264"/>
      <c r="F209" s="2264"/>
      <c r="G209" s="2264"/>
      <c r="H209" s="2264"/>
      <c r="I209" s="2264"/>
      <c r="J209" s="2264"/>
      <c r="K209" s="2264"/>
      <c r="L209" s="2264"/>
      <c r="M209" s="2265"/>
      <c r="N209" s="2266" t="e">
        <f>SUM(#REF!+N205+N201+#REF!+N197+#REF!+N189+N185+N175+N171+N167+N163+N159+#REF!+N155+N151+N147+N143+N139+#REF!+N135+N131+N127+N123+N119+N111+N107+N103+#REF!)</f>
        <v>#REF!</v>
      </c>
      <c r="O209" s="809"/>
      <c r="P209" s="785"/>
      <c r="Q209" s="809"/>
    </row>
    <row r="210" spans="1:17" s="138" customFormat="1" ht="15" customHeight="1" thickBot="1" x14ac:dyDescent="0.2">
      <c r="A210" s="1212"/>
      <c r="B210" s="1213"/>
      <c r="C210" s="2248"/>
      <c r="D210" s="2248"/>
      <c r="E210" s="2248"/>
      <c r="F210" s="2248"/>
      <c r="G210" s="2248"/>
      <c r="H210" s="2248"/>
      <c r="I210" s="2248"/>
      <c r="J210" s="2248"/>
      <c r="K210" s="2248"/>
      <c r="L210" s="2249"/>
      <c r="M210" s="2267"/>
      <c r="N210" s="2268"/>
      <c r="O210" s="408"/>
      <c r="P210" s="409"/>
    </row>
    <row r="211" spans="1:17" s="138" customFormat="1" ht="15" customHeight="1" thickBot="1" x14ac:dyDescent="0.2">
      <c r="A211" s="2568" t="s">
        <v>179</v>
      </c>
      <c r="B211" s="2569"/>
      <c r="C211" s="2269"/>
      <c r="D211" s="2269"/>
      <c r="E211" s="2269"/>
      <c r="F211" s="2269"/>
      <c r="G211" s="2269"/>
      <c r="H211" s="2269"/>
      <c r="I211" s="2269"/>
      <c r="J211" s="2269"/>
      <c r="K211" s="2269"/>
      <c r="L211" s="2270"/>
      <c r="M211" s="2271"/>
      <c r="N211" s="2272"/>
      <c r="O211" s="408"/>
      <c r="P211" s="409"/>
    </row>
    <row r="212" spans="1:17" s="138" customFormat="1" ht="15" customHeight="1" x14ac:dyDescent="0.15">
      <c r="A212" s="540" t="s">
        <v>249</v>
      </c>
      <c r="B212" s="699" t="s">
        <v>250</v>
      </c>
      <c r="C212" s="2198"/>
      <c r="D212" s="2198"/>
      <c r="E212" s="2198"/>
      <c r="F212" s="2198"/>
      <c r="G212" s="2198"/>
      <c r="H212" s="2198"/>
      <c r="I212" s="2198"/>
      <c r="J212" s="2198"/>
      <c r="K212" s="2198"/>
      <c r="L212" s="2198"/>
      <c r="M212" s="2199"/>
      <c r="N212" s="2273"/>
    </row>
    <row r="213" spans="1:17" s="138" customFormat="1" ht="15" customHeight="1" thickBot="1" x14ac:dyDescent="0.2">
      <c r="A213" s="749"/>
      <c r="B213" s="410" t="s">
        <v>356</v>
      </c>
      <c r="C213" s="2201"/>
      <c r="D213" s="2201"/>
      <c r="E213" s="2201"/>
      <c r="F213" s="2201"/>
      <c r="G213" s="2201"/>
      <c r="H213" s="2201"/>
      <c r="I213" s="2201">
        <f>SUM('6. sz.melléklet'!I25)</f>
        <v>516000</v>
      </c>
      <c r="J213" s="2201"/>
      <c r="K213" s="2201"/>
      <c r="L213" s="2201"/>
      <c r="M213" s="2202"/>
      <c r="N213" s="2203">
        <f>SUM(C213:M213)</f>
        <v>516000</v>
      </c>
    </row>
    <row r="214" spans="1:17" s="138" customFormat="1" ht="0.15" customHeight="1" thickBot="1" x14ac:dyDescent="0.2">
      <c r="A214" s="1205"/>
      <c r="B214" s="1206" t="s">
        <v>357</v>
      </c>
      <c r="C214" s="2204">
        <f>SUM('6. sz.melléklet'!C26)</f>
        <v>0</v>
      </c>
      <c r="D214" s="2204">
        <f>SUM('6. sz.melléklet'!D26)</f>
        <v>0</v>
      </c>
      <c r="E214" s="2204">
        <f>SUM('6. sz.melléklet'!E26)</f>
        <v>0</v>
      </c>
      <c r="F214" s="2204"/>
      <c r="G214" s="2204"/>
      <c r="H214" s="2204"/>
      <c r="I214" s="2204">
        <f>SUM('6. sz.melléklet'!I26)</f>
        <v>0</v>
      </c>
      <c r="J214" s="2204"/>
      <c r="K214" s="2204"/>
      <c r="L214" s="2204"/>
      <c r="M214" s="2205"/>
      <c r="N214" s="2206">
        <f>SUM(C214:M214)</f>
        <v>0</v>
      </c>
    </row>
    <row r="215" spans="1:17" s="779" customFormat="1" ht="0.15" customHeight="1" x14ac:dyDescent="0.15">
      <c r="A215" s="840"/>
      <c r="B215" s="841" t="s">
        <v>355</v>
      </c>
      <c r="C215" s="2207"/>
      <c r="D215" s="2207"/>
      <c r="E215" s="2207"/>
      <c r="F215" s="2207"/>
      <c r="G215" s="2207"/>
      <c r="H215" s="2207"/>
      <c r="I215" s="2207"/>
      <c r="J215" s="2207"/>
      <c r="K215" s="2207"/>
      <c r="L215" s="2207"/>
      <c r="M215" s="2208"/>
      <c r="N215" s="2209">
        <f>SUM(C215:M215)</f>
        <v>0</v>
      </c>
    </row>
    <row r="216" spans="1:17" s="138" customFormat="1" ht="15" customHeight="1" x14ac:dyDescent="0.15">
      <c r="A216" s="406" t="s">
        <v>251</v>
      </c>
      <c r="B216" s="401" t="s">
        <v>252</v>
      </c>
      <c r="C216" s="2210"/>
      <c r="D216" s="2210"/>
      <c r="E216" s="2210"/>
      <c r="F216" s="2210"/>
      <c r="G216" s="2210"/>
      <c r="H216" s="2210"/>
      <c r="I216" s="2210"/>
      <c r="J216" s="2210"/>
      <c r="K216" s="2210"/>
      <c r="L216" s="2210"/>
      <c r="M216" s="2211"/>
      <c r="N216" s="2212"/>
    </row>
    <row r="217" spans="1:17" s="138" customFormat="1" ht="15" customHeight="1" thickBot="1" x14ac:dyDescent="0.2">
      <c r="A217" s="749"/>
      <c r="B217" s="410" t="s">
        <v>356</v>
      </c>
      <c r="C217" s="2201">
        <f>SUM('6. sz.melléklet'!C29)</f>
        <v>10215000</v>
      </c>
      <c r="D217" s="2201">
        <f>SUM('6. sz.melléklet'!D29)</f>
        <v>2238000</v>
      </c>
      <c r="E217" s="2201">
        <f>SUM('6. sz.melléklet'!E29)</f>
        <v>6822000</v>
      </c>
      <c r="F217" s="2201"/>
      <c r="G217" s="2201"/>
      <c r="H217" s="2201"/>
      <c r="I217" s="2201"/>
      <c r="J217" s="2201"/>
      <c r="K217" s="2201"/>
      <c r="L217" s="2201"/>
      <c r="M217" s="2202"/>
      <c r="N217" s="2203">
        <f>SUM(C217:M217)</f>
        <v>19275000</v>
      </c>
    </row>
    <row r="218" spans="1:17" s="138" customFormat="1" ht="0.15" customHeight="1" thickBot="1" x14ac:dyDescent="0.2">
      <c r="A218" s="1205"/>
      <c r="B218" s="1206" t="s">
        <v>357</v>
      </c>
      <c r="C218" s="2204">
        <f>SUM('6. sz.melléklet'!C30)</f>
        <v>10215082</v>
      </c>
      <c r="D218" s="2204">
        <f>SUM('6. sz.melléklet'!D30)</f>
        <v>2238023</v>
      </c>
      <c r="E218" s="2204">
        <f>SUM('6. sz.melléklet'!E30)</f>
        <v>6822000</v>
      </c>
      <c r="F218" s="2204"/>
      <c r="G218" s="2204"/>
      <c r="H218" s="2204"/>
      <c r="I218" s="2204"/>
      <c r="J218" s="2204"/>
      <c r="K218" s="2204"/>
      <c r="L218" s="2204"/>
      <c r="M218" s="2205"/>
      <c r="N218" s="2206">
        <f>SUM(C218:M218)</f>
        <v>19275105</v>
      </c>
    </row>
    <row r="219" spans="1:17" s="779" customFormat="1" ht="0.15" customHeight="1" x14ac:dyDescent="0.15">
      <c r="A219" s="840"/>
      <c r="B219" s="841" t="s">
        <v>355</v>
      </c>
      <c r="C219" s="2207"/>
      <c r="D219" s="2207"/>
      <c r="E219" s="2207"/>
      <c r="F219" s="2207"/>
      <c r="G219" s="2207"/>
      <c r="H219" s="2207"/>
      <c r="I219" s="2207"/>
      <c r="J219" s="2207"/>
      <c r="K219" s="2207"/>
      <c r="L219" s="2207"/>
      <c r="M219" s="2208"/>
      <c r="N219" s="2209">
        <f>SUM(C219:M219)</f>
        <v>0</v>
      </c>
    </row>
    <row r="220" spans="1:17" s="138" customFormat="1" ht="15" customHeight="1" x14ac:dyDescent="0.15">
      <c r="A220" s="406" t="s">
        <v>274</v>
      </c>
      <c r="B220" s="401" t="s">
        <v>275</v>
      </c>
      <c r="C220" s="2210"/>
      <c r="D220" s="2210"/>
      <c r="E220" s="2210"/>
      <c r="F220" s="2210"/>
      <c r="G220" s="2210"/>
      <c r="H220" s="2210"/>
      <c r="I220" s="2210"/>
      <c r="J220" s="2210"/>
      <c r="K220" s="2210"/>
      <c r="L220" s="2210"/>
      <c r="M220" s="2211"/>
      <c r="N220" s="2212"/>
    </row>
    <row r="221" spans="1:17" s="138" customFormat="1" ht="15" customHeight="1" thickBot="1" x14ac:dyDescent="0.2">
      <c r="A221" s="749"/>
      <c r="B221" s="410" t="s">
        <v>356</v>
      </c>
      <c r="C221" s="2201"/>
      <c r="D221" s="2201"/>
      <c r="E221" s="2201">
        <f>SUM('6. sz.melléklet'!E33)</f>
        <v>4572000</v>
      </c>
      <c r="F221" s="2201"/>
      <c r="G221" s="2201"/>
      <c r="H221" s="2201"/>
      <c r="I221" s="2201"/>
      <c r="J221" s="2201"/>
      <c r="K221" s="2201"/>
      <c r="L221" s="2201"/>
      <c r="M221" s="2202"/>
      <c r="N221" s="2203">
        <f>SUM(C221:M221)</f>
        <v>4572000</v>
      </c>
    </row>
    <row r="222" spans="1:17" s="138" customFormat="1" ht="0.15" customHeight="1" thickBot="1" x14ac:dyDescent="0.2">
      <c r="A222" s="1205"/>
      <c r="B222" s="1206" t="s">
        <v>357</v>
      </c>
      <c r="C222" s="2204"/>
      <c r="D222" s="2204"/>
      <c r="E222" s="2204">
        <f>SUM('6. sz.melléklet'!E34)</f>
        <v>4572000</v>
      </c>
      <c r="F222" s="2204"/>
      <c r="G222" s="2204"/>
      <c r="H222" s="2204"/>
      <c r="I222" s="2204"/>
      <c r="J222" s="2204"/>
      <c r="K222" s="2204"/>
      <c r="L222" s="2204"/>
      <c r="M222" s="2205"/>
      <c r="N222" s="2206">
        <f t="shared" ref="N222:N226" si="23">SUM(C222:M222)</f>
        <v>4572000</v>
      </c>
    </row>
    <row r="223" spans="1:17" s="779" customFormat="1" ht="0.15" customHeight="1" x14ac:dyDescent="0.15">
      <c r="A223" s="840"/>
      <c r="B223" s="841" t="s">
        <v>355</v>
      </c>
      <c r="C223" s="2207"/>
      <c r="D223" s="2207"/>
      <c r="E223" s="2207"/>
      <c r="F223" s="2207"/>
      <c r="G223" s="2207"/>
      <c r="H223" s="2207"/>
      <c r="I223" s="2207"/>
      <c r="J223" s="2207"/>
      <c r="K223" s="2207"/>
      <c r="L223" s="2207"/>
      <c r="M223" s="2208"/>
      <c r="N223" s="2209">
        <f t="shared" ref="N223" si="24">SUM(C223:M223)</f>
        <v>0</v>
      </c>
    </row>
    <row r="224" spans="1:17" s="138" customFormat="1" ht="15" customHeight="1" x14ac:dyDescent="0.15">
      <c r="A224" s="425" t="s">
        <v>253</v>
      </c>
      <c r="B224" s="400" t="s">
        <v>254</v>
      </c>
      <c r="C224" s="2220"/>
      <c r="D224" s="2220"/>
      <c r="E224" s="2220"/>
      <c r="F224" s="2220"/>
      <c r="G224" s="2220"/>
      <c r="H224" s="2220"/>
      <c r="I224" s="2221"/>
      <c r="J224" s="2221"/>
      <c r="K224" s="2221"/>
      <c r="L224" s="2221"/>
      <c r="M224" s="2222"/>
      <c r="N224" s="2212"/>
    </row>
    <row r="225" spans="1:18" s="138" customFormat="1" ht="15" customHeight="1" thickBot="1" x14ac:dyDescent="0.2">
      <c r="A225" s="412"/>
      <c r="B225" s="410" t="s">
        <v>356</v>
      </c>
      <c r="C225" s="2223">
        <f>SUM('6. sz.melléklet'!C37)</f>
        <v>480000</v>
      </c>
      <c r="D225" s="2223">
        <f>SUM('6. sz.melléklet'!D37)</f>
        <v>95000</v>
      </c>
      <c r="E225" s="2223">
        <f>SUM('6. sz.melléklet'!E37)</f>
        <v>1524000</v>
      </c>
      <c r="F225" s="2223"/>
      <c r="G225" s="2223"/>
      <c r="H225" s="2223"/>
      <c r="I225" s="2224"/>
      <c r="J225" s="2224"/>
      <c r="K225" s="2224"/>
      <c r="L225" s="2224"/>
      <c r="M225" s="2225"/>
      <c r="N225" s="2203">
        <f t="shared" si="23"/>
        <v>2099000</v>
      </c>
    </row>
    <row r="226" spans="1:18" s="138" customFormat="1" ht="0.15" customHeight="1" thickBot="1" x14ac:dyDescent="0.2">
      <c r="A226" s="1207"/>
      <c r="B226" s="1206" t="s">
        <v>357</v>
      </c>
      <c r="C226" s="2226">
        <f>SUM('6. sz.melléklet'!C38)</f>
        <v>480000</v>
      </c>
      <c r="D226" s="2226">
        <f>SUM('6. sz.melléklet'!D38)</f>
        <v>95000</v>
      </c>
      <c r="E226" s="2226">
        <f>SUM('6. sz.melléklet'!E38)</f>
        <v>1524000</v>
      </c>
      <c r="F226" s="2226"/>
      <c r="G226" s="2226"/>
      <c r="H226" s="2226"/>
      <c r="I226" s="2227"/>
      <c r="J226" s="2227"/>
      <c r="K226" s="2227"/>
      <c r="L226" s="2227"/>
      <c r="M226" s="2228"/>
      <c r="N226" s="2206">
        <f t="shared" si="23"/>
        <v>2099000</v>
      </c>
    </row>
    <row r="227" spans="1:18" s="779" customFormat="1" ht="0.15" customHeight="1" x14ac:dyDescent="0.15">
      <c r="A227" s="834"/>
      <c r="B227" s="841" t="s">
        <v>355</v>
      </c>
      <c r="C227" s="2229"/>
      <c r="D227" s="2229"/>
      <c r="E227" s="2229"/>
      <c r="F227" s="2229"/>
      <c r="G227" s="2229"/>
      <c r="H227" s="2229"/>
      <c r="I227" s="2230"/>
      <c r="J227" s="2230"/>
      <c r="K227" s="2230"/>
      <c r="L227" s="2230"/>
      <c r="M227" s="2231"/>
      <c r="N227" s="2209">
        <f t="shared" ref="N227" si="25">SUM(C227:M227)</f>
        <v>0</v>
      </c>
    </row>
    <row r="228" spans="1:18" s="138" customFormat="1" ht="15" customHeight="1" x14ac:dyDescent="0.3">
      <c r="A228" s="425" t="s">
        <v>435</v>
      </c>
      <c r="B228" s="401" t="s">
        <v>436</v>
      </c>
      <c r="C228" s="1870"/>
      <c r="D228" s="1870"/>
      <c r="E228" s="1870"/>
      <c r="F228" s="1870"/>
      <c r="G228" s="1870"/>
      <c r="H228" s="1870"/>
      <c r="I228" s="1871"/>
      <c r="J228" s="1871"/>
      <c r="K228" s="1871"/>
      <c r="L228" s="1871"/>
      <c r="M228" s="2274"/>
      <c r="N228" s="2275"/>
    </row>
    <row r="229" spans="1:18" s="138" customFormat="1" ht="15" customHeight="1" thickBot="1" x14ac:dyDescent="0.35">
      <c r="A229" s="807"/>
      <c r="B229" s="806" t="s">
        <v>356</v>
      </c>
      <c r="C229" s="2254">
        <f>SUM('6. sz.melléklet'!C119)</f>
        <v>24000</v>
      </c>
      <c r="D229" s="2276"/>
      <c r="E229" s="2276"/>
      <c r="F229" s="2276"/>
      <c r="G229" s="2276"/>
      <c r="H229" s="2276"/>
      <c r="I229" s="2277"/>
      <c r="J229" s="2277"/>
      <c r="K229" s="2277"/>
      <c r="L229" s="2277"/>
      <c r="M229" s="2278"/>
      <c r="N229" s="2279">
        <f>SUM(C229:M229)</f>
        <v>24000</v>
      </c>
    </row>
    <row r="230" spans="1:18" s="138" customFormat="1" ht="0.15" customHeight="1" thickBot="1" x14ac:dyDescent="0.35">
      <c r="A230" s="352"/>
      <c r="B230" s="386" t="s">
        <v>357</v>
      </c>
      <c r="C230" s="1872">
        <f>SUM('6. sz.melléklet'!C120)</f>
        <v>24000</v>
      </c>
      <c r="D230" s="1872"/>
      <c r="E230" s="1872"/>
      <c r="F230" s="1872"/>
      <c r="G230" s="1872"/>
      <c r="H230" s="1872"/>
      <c r="I230" s="1873"/>
      <c r="J230" s="1873"/>
      <c r="K230" s="1873"/>
      <c r="L230" s="1873"/>
      <c r="M230" s="2280"/>
      <c r="N230" s="2279">
        <f>SUM(C230:M230)</f>
        <v>24000</v>
      </c>
    </row>
    <row r="231" spans="1:18" s="779" customFormat="1" ht="0.15" customHeight="1" thickBot="1" x14ac:dyDescent="0.35">
      <c r="A231" s="795"/>
      <c r="B231" s="813" t="s">
        <v>355</v>
      </c>
      <c r="C231" s="1889">
        <v>16</v>
      </c>
      <c r="D231" s="1889"/>
      <c r="E231" s="1889"/>
      <c r="F231" s="1889"/>
      <c r="G231" s="1889"/>
      <c r="H231" s="1889"/>
      <c r="I231" s="1890"/>
      <c r="J231" s="1890"/>
      <c r="K231" s="1890"/>
      <c r="L231" s="1890"/>
      <c r="M231" s="2281"/>
      <c r="N231" s="2282">
        <f>SUM(C231:L231)</f>
        <v>16</v>
      </c>
    </row>
    <row r="232" spans="1:18" s="138" customFormat="1" ht="30" customHeight="1" x14ac:dyDescent="0.15">
      <c r="A232" s="2566" t="s">
        <v>374</v>
      </c>
      <c r="B232" s="2567"/>
      <c r="C232" s="2163"/>
      <c r="D232" s="2163"/>
      <c r="E232" s="2163"/>
      <c r="F232" s="2163"/>
      <c r="G232" s="2163"/>
      <c r="H232" s="2163"/>
      <c r="I232" s="2163"/>
      <c r="J232" s="2163"/>
      <c r="K232" s="2163"/>
      <c r="L232" s="2163"/>
      <c r="M232" s="2164"/>
      <c r="N232" s="2283"/>
      <c r="O232" s="326"/>
      <c r="P232" s="326"/>
      <c r="R232" s="405"/>
    </row>
    <row r="233" spans="1:18" s="413" customFormat="1" ht="15" customHeight="1" thickBot="1" x14ac:dyDescent="0.2">
      <c r="A233" s="416"/>
      <c r="B233" s="416" t="s">
        <v>356</v>
      </c>
      <c r="C233" s="2284">
        <f>C213+C217+C221+C225+C229</f>
        <v>10719000</v>
      </c>
      <c r="D233" s="2284">
        <f t="shared" ref="D233:N233" si="26">D213+D217+D221+D225+D229</f>
        <v>2333000</v>
      </c>
      <c r="E233" s="2284">
        <f t="shared" si="26"/>
        <v>12918000</v>
      </c>
      <c r="F233" s="2284">
        <f t="shared" si="26"/>
        <v>0</v>
      </c>
      <c r="G233" s="2284">
        <f t="shared" si="26"/>
        <v>0</v>
      </c>
      <c r="H233" s="2284">
        <f t="shared" si="26"/>
        <v>0</v>
      </c>
      <c r="I233" s="2284">
        <f t="shared" si="26"/>
        <v>516000</v>
      </c>
      <c r="J233" s="2284">
        <f t="shared" si="26"/>
        <v>0</v>
      </c>
      <c r="K233" s="2284">
        <f t="shared" si="26"/>
        <v>0</v>
      </c>
      <c r="L233" s="2284">
        <f t="shared" si="26"/>
        <v>0</v>
      </c>
      <c r="M233" s="2284">
        <f t="shared" si="26"/>
        <v>0</v>
      </c>
      <c r="N233" s="2284">
        <f t="shared" si="26"/>
        <v>26486000</v>
      </c>
      <c r="O233" s="415"/>
      <c r="P233" s="415"/>
      <c r="Q233" s="415"/>
    </row>
    <row r="234" spans="1:18" s="413" customFormat="1" ht="0.15" customHeight="1" thickBot="1" x14ac:dyDescent="0.2">
      <c r="A234" s="1214"/>
      <c r="B234" s="1214" t="s">
        <v>357</v>
      </c>
      <c r="C234" s="2285" t="e">
        <f>C214+C218+C222+C226+#REF!+#REF!+#REF!+C230</f>
        <v>#REF!</v>
      </c>
      <c r="D234" s="2285" t="e">
        <f>D214+D218+D222+D226+#REF!+#REF!+#REF!</f>
        <v>#REF!</v>
      </c>
      <c r="E234" s="2285" t="e">
        <f>E214+E218+E222+E226+#REF!+#REF!+#REF!</f>
        <v>#REF!</v>
      </c>
      <c r="F234" s="2285" t="e">
        <f>F214+F218+F222+F226+#REF!+#REF!+#REF!</f>
        <v>#REF!</v>
      </c>
      <c r="G234" s="2285" t="e">
        <f>G214+G218+G222+G226+#REF!+#REF!+#REF!</f>
        <v>#REF!</v>
      </c>
      <c r="H234" s="2285" t="e">
        <f>H214+H218+H222+H226+#REF!+#REF!+#REF!</f>
        <v>#REF!</v>
      </c>
      <c r="I234" s="2285" t="e">
        <f>I214+I218+I222+I226+#REF!+#REF!+#REF!</f>
        <v>#REF!</v>
      </c>
      <c r="J234" s="2285" t="e">
        <f>J214+J218+J222+J226+#REF!+#REF!+#REF!</f>
        <v>#REF!</v>
      </c>
      <c r="K234" s="2285" t="e">
        <f>K214+K218+K222+K226+#REF!+#REF!+#REF!</f>
        <v>#REF!</v>
      </c>
      <c r="L234" s="2285" t="e">
        <f>L214+L218+L222+L226+#REF!+#REF!+#REF!</f>
        <v>#REF!</v>
      </c>
      <c r="M234" s="2286" t="e">
        <f>M214+M218+M222+M226+#REF!+#REF!+#REF!</f>
        <v>#REF!</v>
      </c>
      <c r="N234" s="2287" t="e">
        <f>N214+N218+N222+N226+#REF!+#REF!+#REF!+N230</f>
        <v>#REF!</v>
      </c>
      <c r="O234" s="415"/>
      <c r="P234" s="415"/>
      <c r="Q234" s="415"/>
    </row>
    <row r="235" spans="1:18" s="830" customFormat="1" ht="0.15" customHeight="1" x14ac:dyDescent="0.15">
      <c r="A235" s="842"/>
      <c r="B235" s="842" t="s">
        <v>355</v>
      </c>
      <c r="C235" s="2288" t="e">
        <f>C215+C219+C223+C227+#REF!+#REF!+#REF!+C231</f>
        <v>#REF!</v>
      </c>
      <c r="D235" s="2288" t="e">
        <f>D215+D219+D223+D227+#REF!+#REF!+#REF!</f>
        <v>#REF!</v>
      </c>
      <c r="E235" s="2288" t="e">
        <f>E215+E219+E223+E227+#REF!+#REF!+#REF!</f>
        <v>#REF!</v>
      </c>
      <c r="F235" s="2288" t="e">
        <f>F215+F219+F223+F227+#REF!+#REF!+#REF!</f>
        <v>#REF!</v>
      </c>
      <c r="G235" s="2288" t="e">
        <f>G215+G219+G223+G227+#REF!+#REF!+#REF!</f>
        <v>#REF!</v>
      </c>
      <c r="H235" s="2288" t="e">
        <f>H215+H219+H223+H227+#REF!+#REF!+#REF!</f>
        <v>#REF!</v>
      </c>
      <c r="I235" s="2288" t="e">
        <f>I215+I219+I223+I227+#REF!+#REF!+#REF!</f>
        <v>#REF!</v>
      </c>
      <c r="J235" s="2288" t="e">
        <f>J215+J219+J223+J227+#REF!+#REF!+#REF!</f>
        <v>#REF!</v>
      </c>
      <c r="K235" s="2288" t="e">
        <f>K215+K219+K223+K227+#REF!+#REF!+#REF!</f>
        <v>#REF!</v>
      </c>
      <c r="L235" s="2288" t="e">
        <f>L215+L219+L223+L227+#REF!+#REF!+#REF!</f>
        <v>#REF!</v>
      </c>
      <c r="M235" s="2289" t="e">
        <f>M215+M219+M223+M227+#REF!+#REF!+#REF!</f>
        <v>#REF!</v>
      </c>
      <c r="N235" s="2290" t="e">
        <f>N215+N219+N223+N227+#REF!+#REF!+#REF!+N231</f>
        <v>#REF!</v>
      </c>
      <c r="O235" s="829"/>
      <c r="P235" s="829"/>
      <c r="Q235" s="829"/>
    </row>
    <row r="236" spans="1:18" s="830" customFormat="1" ht="15" customHeight="1" thickBot="1" x14ac:dyDescent="0.2">
      <c r="A236" s="831"/>
      <c r="B236" s="831"/>
      <c r="C236" s="2291"/>
      <c r="D236" s="2291"/>
      <c r="E236" s="2291"/>
      <c r="F236" s="2291"/>
      <c r="G236" s="2291"/>
      <c r="H236" s="2291"/>
      <c r="I236" s="2291"/>
      <c r="J236" s="2291"/>
      <c r="K236" s="2291"/>
      <c r="L236" s="2291"/>
      <c r="M236" s="2292"/>
      <c r="N236" s="2293"/>
      <c r="O236" s="829"/>
      <c r="P236" s="829"/>
    </row>
    <row r="237" spans="1:18" s="413" customFormat="1" ht="15" customHeight="1" x14ac:dyDescent="0.15">
      <c r="A237" s="414" t="s">
        <v>375</v>
      </c>
      <c r="B237" s="414"/>
      <c r="C237" s="2294"/>
      <c r="D237" s="2294"/>
      <c r="E237" s="2294"/>
      <c r="F237" s="2294"/>
      <c r="G237" s="2294"/>
      <c r="H237" s="2294"/>
      <c r="I237" s="2294"/>
      <c r="J237" s="2294"/>
      <c r="K237" s="2294"/>
      <c r="L237" s="2294"/>
      <c r="M237" s="2295"/>
      <c r="N237" s="2296"/>
      <c r="O237" s="415"/>
      <c r="P237" s="415"/>
    </row>
    <row r="238" spans="1:18" s="413" customFormat="1" ht="15" customHeight="1" thickBot="1" x14ac:dyDescent="0.2">
      <c r="A238" s="416"/>
      <c r="B238" s="416" t="s">
        <v>356</v>
      </c>
      <c r="C238" s="2284">
        <f t="shared" ref="C238:M238" si="27">C207+C233</f>
        <v>47666000</v>
      </c>
      <c r="D238" s="2284">
        <f t="shared" si="27"/>
        <v>11771000</v>
      </c>
      <c r="E238" s="2284">
        <f t="shared" si="27"/>
        <v>186435693</v>
      </c>
      <c r="F238" s="2284">
        <f t="shared" si="27"/>
        <v>21848000</v>
      </c>
      <c r="G238" s="2284">
        <f t="shared" si="27"/>
        <v>294039503</v>
      </c>
      <c r="H238" s="2284">
        <f t="shared" si="27"/>
        <v>897562627</v>
      </c>
      <c r="I238" s="2284">
        <f t="shared" si="27"/>
        <v>111248760</v>
      </c>
      <c r="J238" s="2284">
        <f t="shared" si="27"/>
        <v>6127431</v>
      </c>
      <c r="K238" s="2284">
        <f t="shared" si="27"/>
        <v>3461428</v>
      </c>
      <c r="L238" s="2284">
        <f t="shared" si="27"/>
        <v>77670856</v>
      </c>
      <c r="M238" s="2297">
        <f t="shared" si="27"/>
        <v>552696365</v>
      </c>
      <c r="N238" s="2298">
        <f>N207+N233</f>
        <v>2210527663</v>
      </c>
      <c r="O238" s="415"/>
      <c r="P238" s="415"/>
      <c r="Q238" s="415"/>
    </row>
    <row r="239" spans="1:18" s="413" customFormat="1" ht="0.15" customHeight="1" thickBot="1" x14ac:dyDescent="0.2">
      <c r="A239" s="1214"/>
      <c r="B239" s="1214" t="s">
        <v>357</v>
      </c>
      <c r="C239" s="1215" t="e">
        <f t="shared" ref="C239:N239" si="28">C208+C234</f>
        <v>#REF!</v>
      </c>
      <c r="D239" s="1215" t="e">
        <f t="shared" si="28"/>
        <v>#REF!</v>
      </c>
      <c r="E239" s="1215" t="e">
        <f t="shared" si="28"/>
        <v>#REF!</v>
      </c>
      <c r="F239" s="1215" t="e">
        <f t="shared" si="28"/>
        <v>#REF!</v>
      </c>
      <c r="G239" s="1215" t="e">
        <f t="shared" si="28"/>
        <v>#REF!</v>
      </c>
      <c r="H239" s="1215" t="e">
        <f t="shared" si="28"/>
        <v>#REF!</v>
      </c>
      <c r="I239" s="1215" t="e">
        <f t="shared" si="28"/>
        <v>#REF!</v>
      </c>
      <c r="J239" s="1215" t="e">
        <f t="shared" si="28"/>
        <v>#REF!</v>
      </c>
      <c r="K239" s="1215" t="e">
        <f t="shared" si="28"/>
        <v>#REF!</v>
      </c>
      <c r="L239" s="1215" t="e">
        <f t="shared" si="28"/>
        <v>#REF!</v>
      </c>
      <c r="M239" s="1216" t="e">
        <f t="shared" si="28"/>
        <v>#REF!</v>
      </c>
      <c r="N239" s="1217" t="e">
        <f t="shared" si="28"/>
        <v>#REF!</v>
      </c>
      <c r="O239" s="415">
        <v>878961</v>
      </c>
      <c r="P239" s="415"/>
      <c r="R239" s="415"/>
    </row>
    <row r="240" spans="1:18" s="830" customFormat="1" ht="0.15" customHeight="1" x14ac:dyDescent="0.15">
      <c r="A240" s="842"/>
      <c r="B240" s="842" t="s">
        <v>355</v>
      </c>
      <c r="C240" s="843" t="e">
        <f t="shared" ref="C240:N240" si="29">C209+C235</f>
        <v>#REF!</v>
      </c>
      <c r="D240" s="843" t="e">
        <f t="shared" si="29"/>
        <v>#REF!</v>
      </c>
      <c r="E240" s="843" t="e">
        <f t="shared" si="29"/>
        <v>#REF!</v>
      </c>
      <c r="F240" s="843" t="e">
        <f t="shared" si="29"/>
        <v>#REF!</v>
      </c>
      <c r="G240" s="843" t="e">
        <f t="shared" si="29"/>
        <v>#REF!</v>
      </c>
      <c r="H240" s="843" t="e">
        <f t="shared" si="29"/>
        <v>#REF!</v>
      </c>
      <c r="I240" s="843" t="e">
        <f t="shared" si="29"/>
        <v>#REF!</v>
      </c>
      <c r="J240" s="843" t="e">
        <f t="shared" si="29"/>
        <v>#REF!</v>
      </c>
      <c r="K240" s="843" t="e">
        <f t="shared" si="29"/>
        <v>#REF!</v>
      </c>
      <c r="L240" s="843" t="e">
        <f t="shared" si="29"/>
        <v>#REF!</v>
      </c>
      <c r="M240" s="843" t="e">
        <f t="shared" si="29"/>
        <v>#REF!</v>
      </c>
      <c r="N240" s="843" t="e">
        <f t="shared" si="29"/>
        <v>#REF!</v>
      </c>
      <c r="O240" s="829"/>
      <c r="P240" s="829"/>
      <c r="R240" s="829"/>
    </row>
    <row r="241" spans="1:20" s="830" customFormat="1" ht="0.15" customHeight="1" thickBot="1" x14ac:dyDescent="0.2">
      <c r="A241" s="831"/>
      <c r="B241" s="831" t="s">
        <v>427</v>
      </c>
      <c r="C241" s="811" t="e">
        <f>SUM(C240/C239)</f>
        <v>#REF!</v>
      </c>
      <c r="D241" s="811" t="e">
        <f t="shared" ref="D241:N241" si="30">SUM(D240/D239)</f>
        <v>#REF!</v>
      </c>
      <c r="E241" s="811" t="e">
        <f t="shared" si="30"/>
        <v>#REF!</v>
      </c>
      <c r="F241" s="811" t="e">
        <f t="shared" si="30"/>
        <v>#REF!</v>
      </c>
      <c r="G241" s="811" t="e">
        <f t="shared" si="30"/>
        <v>#REF!</v>
      </c>
      <c r="H241" s="811" t="e">
        <f t="shared" si="30"/>
        <v>#REF!</v>
      </c>
      <c r="I241" s="811" t="e">
        <f t="shared" si="30"/>
        <v>#REF!</v>
      </c>
      <c r="J241" s="811" t="e">
        <f t="shared" si="30"/>
        <v>#REF!</v>
      </c>
      <c r="K241" s="811" t="e">
        <f t="shared" si="30"/>
        <v>#REF!</v>
      </c>
      <c r="L241" s="811" t="e">
        <f t="shared" si="30"/>
        <v>#REF!</v>
      </c>
      <c r="M241" s="811" t="e">
        <f t="shared" si="30"/>
        <v>#REF!</v>
      </c>
      <c r="N241" s="811" t="e">
        <f t="shared" si="30"/>
        <v>#REF!</v>
      </c>
      <c r="O241" s="829"/>
      <c r="P241" s="829"/>
    </row>
    <row r="242" spans="1:20" s="56" customFormat="1" ht="0.15" customHeight="1" x14ac:dyDescent="0.25">
      <c r="C242" s="405"/>
      <c r="D242" s="405"/>
      <c r="E242" s="405"/>
      <c r="F242" s="405"/>
      <c r="G242" s="405"/>
      <c r="H242" s="405"/>
      <c r="I242" s="405"/>
      <c r="J242" s="405"/>
      <c r="K242" s="405"/>
      <c r="L242" s="405"/>
      <c r="M242" s="405"/>
      <c r="N242" s="405"/>
      <c r="O242" s="405"/>
      <c r="P242" s="405"/>
      <c r="Q242" s="138"/>
      <c r="R242" s="138"/>
      <c r="S242" s="138"/>
      <c r="T242" s="138"/>
    </row>
    <row r="243" spans="1:20" s="56" customFormat="1" ht="15" customHeight="1" x14ac:dyDescent="0.25">
      <c r="C243" s="405"/>
      <c r="D243" s="405"/>
      <c r="E243" s="405"/>
      <c r="F243" s="405"/>
      <c r="G243" s="405"/>
      <c r="H243" s="405"/>
      <c r="I243" s="405"/>
      <c r="J243" s="405"/>
      <c r="K243" s="405"/>
      <c r="L243" s="405"/>
      <c r="M243" s="405"/>
      <c r="N243" s="405"/>
      <c r="O243" s="405"/>
      <c r="P243" s="405"/>
      <c r="Q243" s="138"/>
      <c r="R243" s="138"/>
      <c r="S243" s="138"/>
      <c r="T243" s="138"/>
    </row>
    <row r="244" spans="1:20" s="56" customFormat="1" x14ac:dyDescent="0.25">
      <c r="C244" s="405"/>
      <c r="D244" s="405"/>
      <c r="E244" s="405"/>
      <c r="F244" s="405"/>
      <c r="G244" s="405"/>
      <c r="H244" s="405"/>
      <c r="I244" s="405"/>
      <c r="J244" s="405"/>
      <c r="K244" s="405"/>
      <c r="L244" s="405"/>
      <c r="M244" s="405"/>
      <c r="N244" s="405"/>
      <c r="O244" s="405"/>
      <c r="P244" s="405"/>
      <c r="Q244" s="138"/>
      <c r="R244" s="138"/>
      <c r="S244" s="138"/>
      <c r="T244" s="138"/>
    </row>
    <row r="245" spans="1:20" s="56" customFormat="1" x14ac:dyDescent="0.25">
      <c r="C245" s="405"/>
      <c r="D245" s="405"/>
      <c r="E245" s="405"/>
      <c r="F245" s="405"/>
      <c r="G245" s="405"/>
      <c r="H245" s="405"/>
      <c r="I245" s="405"/>
      <c r="J245" s="405"/>
      <c r="K245" s="405"/>
      <c r="L245" s="405"/>
      <c r="M245" s="405"/>
      <c r="N245" s="405"/>
      <c r="O245" s="405"/>
      <c r="P245" s="405"/>
      <c r="Q245" s="138"/>
      <c r="R245" s="138"/>
      <c r="S245" s="138"/>
      <c r="T245" s="138"/>
    </row>
    <row r="246" spans="1:20" s="56" customFormat="1" x14ac:dyDescent="0.25">
      <c r="C246" s="405"/>
      <c r="D246" s="405"/>
      <c r="E246" s="405"/>
      <c r="F246" s="405"/>
      <c r="G246" s="405"/>
      <c r="H246" s="405"/>
      <c r="I246" s="405"/>
      <c r="J246" s="405"/>
      <c r="K246" s="405"/>
      <c r="L246" s="405"/>
      <c r="M246" s="405"/>
      <c r="N246" s="405"/>
      <c r="O246" s="405"/>
      <c r="P246" s="405"/>
      <c r="Q246" s="138"/>
      <c r="R246" s="138"/>
      <c r="S246" s="138"/>
      <c r="T246" s="138"/>
    </row>
    <row r="247" spans="1:20" s="56" customFormat="1" x14ac:dyDescent="0.25">
      <c r="C247" s="405"/>
      <c r="D247" s="405"/>
      <c r="E247" s="405"/>
      <c r="F247" s="405"/>
      <c r="G247" s="405"/>
      <c r="H247" s="405"/>
      <c r="I247" s="405"/>
      <c r="J247" s="405"/>
      <c r="K247" s="405"/>
      <c r="L247" s="405"/>
      <c r="M247" s="405"/>
      <c r="N247" s="405"/>
      <c r="O247" s="405"/>
      <c r="P247" s="405"/>
      <c r="Q247" s="138"/>
      <c r="R247" s="138"/>
      <c r="S247" s="138"/>
      <c r="T247" s="138"/>
    </row>
    <row r="248" spans="1:20" s="56" customFormat="1" ht="15" customHeight="1" x14ac:dyDescent="0.25">
      <c r="C248" s="405"/>
      <c r="D248" s="405"/>
      <c r="E248" s="405"/>
      <c r="F248" s="405"/>
      <c r="G248" s="405"/>
      <c r="H248" s="405"/>
      <c r="I248" s="405"/>
      <c r="J248" s="405"/>
      <c r="K248" s="405"/>
      <c r="L248" s="405"/>
      <c r="M248" s="405"/>
      <c r="N248" s="405"/>
      <c r="O248" s="405"/>
      <c r="P248" s="405"/>
      <c r="Q248" s="138"/>
      <c r="R248" s="138"/>
      <c r="S248" s="138"/>
      <c r="T248" s="138"/>
    </row>
    <row r="249" spans="1:20" s="56" customFormat="1" ht="15" customHeight="1" x14ac:dyDescent="0.25">
      <c r="C249" s="405"/>
      <c r="D249" s="405"/>
      <c r="E249" s="405"/>
      <c r="F249" s="405"/>
      <c r="G249" s="405"/>
      <c r="H249" s="405"/>
      <c r="I249" s="405"/>
      <c r="J249" s="405"/>
      <c r="K249" s="405"/>
      <c r="L249" s="405"/>
      <c r="M249" s="405"/>
      <c r="N249" s="405"/>
      <c r="O249" s="405"/>
      <c r="P249" s="405"/>
      <c r="Q249" s="138"/>
      <c r="R249" s="138"/>
      <c r="S249" s="138"/>
      <c r="T249" s="138"/>
    </row>
    <row r="250" spans="1:20" s="56" customFormat="1" ht="15" customHeight="1" x14ac:dyDescent="0.25">
      <c r="C250" s="405"/>
      <c r="D250" s="405"/>
      <c r="E250" s="405"/>
      <c r="F250" s="405"/>
      <c r="G250" s="405"/>
      <c r="H250" s="405"/>
      <c r="I250" s="405"/>
      <c r="J250" s="405"/>
      <c r="K250" s="405"/>
      <c r="L250" s="405"/>
      <c r="M250" s="405"/>
      <c r="N250" s="405"/>
      <c r="O250" s="405"/>
      <c r="P250" s="405"/>
      <c r="Q250" s="138"/>
      <c r="R250" s="138"/>
      <c r="S250" s="138"/>
      <c r="T250" s="138"/>
    </row>
    <row r="251" spans="1:20" s="56" customFormat="1" ht="15" customHeight="1" x14ac:dyDescent="0.25"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  <c r="O251" s="405"/>
      <c r="P251" s="405"/>
      <c r="Q251" s="138"/>
      <c r="R251" s="138"/>
      <c r="S251" s="138"/>
      <c r="T251" s="138"/>
    </row>
    <row r="252" spans="1:20" s="56" customFormat="1" ht="15" customHeight="1" x14ac:dyDescent="0.25"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  <c r="O252" s="405"/>
      <c r="P252" s="405"/>
      <c r="Q252" s="138"/>
      <c r="R252" s="138"/>
      <c r="S252" s="138"/>
      <c r="T252" s="138"/>
    </row>
    <row r="253" spans="1:20" s="56" customFormat="1" ht="15" customHeight="1" x14ac:dyDescent="0.25">
      <c r="C253" s="405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  <c r="O253" s="405"/>
      <c r="P253" s="405"/>
      <c r="Q253" s="138"/>
      <c r="R253" s="138"/>
      <c r="S253" s="138"/>
      <c r="T253" s="138"/>
    </row>
    <row r="254" spans="1:20" s="56" customFormat="1" ht="15" customHeight="1" x14ac:dyDescent="0.25">
      <c r="C254" s="405"/>
      <c r="D254" s="405"/>
      <c r="E254" s="405"/>
      <c r="F254" s="405"/>
      <c r="G254" s="405"/>
      <c r="H254" s="405"/>
      <c r="I254" s="405"/>
      <c r="J254" s="405"/>
      <c r="K254" s="405"/>
      <c r="L254" s="405"/>
      <c r="M254" s="405"/>
      <c r="N254" s="405"/>
      <c r="O254" s="405"/>
      <c r="P254" s="405"/>
      <c r="Q254" s="138"/>
      <c r="R254" s="138"/>
      <c r="S254" s="138"/>
      <c r="T254" s="138"/>
    </row>
    <row r="255" spans="1:20" s="56" customFormat="1" ht="15" customHeight="1" x14ac:dyDescent="0.25">
      <c r="C255" s="405"/>
      <c r="D255" s="405"/>
      <c r="E255" s="405"/>
      <c r="F255" s="405"/>
      <c r="G255" s="405"/>
      <c r="H255" s="405"/>
      <c r="I255" s="405"/>
      <c r="J255" s="405"/>
      <c r="K255" s="405"/>
      <c r="L255" s="405"/>
      <c r="M255" s="405"/>
      <c r="N255" s="405"/>
      <c r="O255" s="405"/>
      <c r="P255" s="405"/>
      <c r="Q255" s="138"/>
      <c r="R255" s="138"/>
      <c r="S255" s="138"/>
      <c r="T255" s="138"/>
    </row>
    <row r="256" spans="1:20" s="56" customFormat="1" ht="15" customHeight="1" x14ac:dyDescent="0.25">
      <c r="C256" s="405"/>
      <c r="D256" s="405"/>
      <c r="E256" s="405"/>
      <c r="F256" s="405"/>
      <c r="G256" s="405"/>
      <c r="H256" s="405"/>
      <c r="I256" s="405"/>
      <c r="J256" s="405"/>
      <c r="K256" s="405"/>
      <c r="L256" s="405"/>
      <c r="M256" s="405"/>
      <c r="N256" s="405"/>
      <c r="O256" s="405"/>
      <c r="P256" s="405"/>
      <c r="Q256" s="138"/>
      <c r="R256" s="138"/>
      <c r="S256" s="138"/>
      <c r="T256" s="138"/>
    </row>
    <row r="257" spans="3:20" s="56" customFormat="1" ht="15" customHeight="1" x14ac:dyDescent="0.25"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  <c r="O257" s="405"/>
      <c r="P257" s="405"/>
      <c r="Q257" s="138"/>
      <c r="R257" s="138"/>
      <c r="S257" s="138"/>
      <c r="T257" s="138"/>
    </row>
    <row r="258" spans="3:20" s="56" customFormat="1" ht="15" customHeight="1" x14ac:dyDescent="0.25"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  <c r="O258" s="405"/>
      <c r="P258" s="405"/>
      <c r="Q258" s="138"/>
      <c r="R258" s="138"/>
      <c r="S258" s="138"/>
      <c r="T258" s="138"/>
    </row>
    <row r="259" spans="3:20" s="56" customFormat="1" ht="15" customHeight="1" x14ac:dyDescent="0.25">
      <c r="C259" s="405"/>
      <c r="D259" s="405"/>
      <c r="E259" s="405"/>
      <c r="F259" s="405"/>
      <c r="G259" s="405"/>
      <c r="H259" s="405"/>
      <c r="I259" s="405"/>
      <c r="J259" s="405"/>
      <c r="K259" s="405"/>
      <c r="L259" s="405"/>
      <c r="M259" s="405"/>
      <c r="N259" s="405"/>
      <c r="O259" s="405"/>
      <c r="P259" s="405"/>
      <c r="Q259" s="138"/>
      <c r="R259" s="138"/>
      <c r="S259" s="138"/>
      <c r="T259" s="138"/>
    </row>
    <row r="260" spans="3:20" s="56" customFormat="1" ht="15" customHeight="1" x14ac:dyDescent="0.25">
      <c r="C260" s="405"/>
      <c r="D260" s="405"/>
      <c r="E260" s="405"/>
      <c r="F260" s="405"/>
      <c r="G260" s="405"/>
      <c r="H260" s="405"/>
      <c r="I260" s="405"/>
      <c r="J260" s="405"/>
      <c r="K260" s="405"/>
      <c r="L260" s="405"/>
      <c r="M260" s="405"/>
      <c r="N260" s="405"/>
      <c r="O260" s="405"/>
      <c r="P260" s="405"/>
      <c r="Q260" s="138"/>
      <c r="R260" s="138"/>
      <c r="S260" s="138"/>
      <c r="T260" s="138"/>
    </row>
    <row r="261" spans="3:20" s="56" customFormat="1" ht="15" customHeight="1" x14ac:dyDescent="0.25">
      <c r="C261" s="405"/>
      <c r="D261" s="405"/>
      <c r="E261" s="405"/>
      <c r="F261" s="405"/>
      <c r="G261" s="405"/>
      <c r="H261" s="405"/>
      <c r="I261" s="405"/>
      <c r="J261" s="405"/>
      <c r="K261" s="405"/>
      <c r="L261" s="405"/>
      <c r="M261" s="405"/>
      <c r="N261" s="405"/>
      <c r="O261" s="405"/>
      <c r="P261" s="405"/>
      <c r="Q261" s="138"/>
      <c r="R261" s="138"/>
      <c r="S261" s="138"/>
      <c r="T261" s="138"/>
    </row>
    <row r="262" spans="3:20" s="56" customFormat="1" ht="15" customHeight="1" x14ac:dyDescent="0.25">
      <c r="C262" s="405"/>
      <c r="D262" s="405"/>
      <c r="E262" s="405"/>
      <c r="F262" s="405"/>
      <c r="G262" s="405"/>
      <c r="H262" s="405"/>
      <c r="I262" s="405"/>
      <c r="J262" s="405"/>
      <c r="K262" s="405"/>
      <c r="L262" s="405"/>
      <c r="M262" s="405"/>
      <c r="N262" s="405"/>
      <c r="O262" s="405"/>
      <c r="P262" s="405"/>
      <c r="Q262" s="138"/>
      <c r="R262" s="138"/>
      <c r="S262" s="138"/>
      <c r="T262" s="138"/>
    </row>
    <row r="263" spans="3:20" s="56" customFormat="1" ht="15" customHeight="1" x14ac:dyDescent="0.25">
      <c r="C263" s="405"/>
      <c r="D263" s="405"/>
      <c r="E263" s="405"/>
      <c r="F263" s="405"/>
      <c r="G263" s="405"/>
      <c r="H263" s="405"/>
      <c r="I263" s="405"/>
      <c r="J263" s="405"/>
      <c r="K263" s="405"/>
      <c r="L263" s="405"/>
      <c r="M263" s="405"/>
      <c r="N263" s="405"/>
      <c r="O263" s="405"/>
      <c r="P263" s="405"/>
      <c r="Q263" s="138"/>
      <c r="R263" s="138"/>
      <c r="S263" s="138"/>
      <c r="T263" s="138"/>
    </row>
    <row r="264" spans="3:20" s="56" customFormat="1" ht="15" customHeight="1" x14ac:dyDescent="0.25">
      <c r="C264" s="405"/>
      <c r="D264" s="405"/>
      <c r="E264" s="405"/>
      <c r="F264" s="405"/>
      <c r="G264" s="405"/>
      <c r="H264" s="405"/>
      <c r="I264" s="405"/>
      <c r="J264" s="405"/>
      <c r="K264" s="405"/>
      <c r="L264" s="405"/>
      <c r="M264" s="405"/>
      <c r="N264" s="405"/>
      <c r="O264" s="405"/>
      <c r="P264" s="405"/>
      <c r="Q264" s="138"/>
      <c r="R264" s="138"/>
      <c r="S264" s="138"/>
      <c r="T264" s="138"/>
    </row>
    <row r="265" spans="3:20" s="56" customFormat="1" ht="15" customHeight="1" x14ac:dyDescent="0.25">
      <c r="C265" s="405"/>
      <c r="D265" s="405"/>
      <c r="E265" s="405"/>
      <c r="F265" s="405"/>
      <c r="G265" s="405"/>
      <c r="H265" s="405"/>
      <c r="I265" s="405"/>
      <c r="J265" s="405"/>
      <c r="K265" s="405"/>
      <c r="L265" s="405"/>
      <c r="M265" s="405"/>
      <c r="N265" s="405"/>
      <c r="O265" s="405"/>
      <c r="P265" s="405"/>
      <c r="Q265" s="138"/>
      <c r="R265" s="138"/>
      <c r="S265" s="138"/>
      <c r="T265" s="138"/>
    </row>
    <row r="266" spans="3:20" s="56" customFormat="1" ht="15" customHeight="1" x14ac:dyDescent="0.25">
      <c r="C266" s="405"/>
      <c r="D266" s="405"/>
      <c r="E266" s="405"/>
      <c r="F266" s="405"/>
      <c r="G266" s="405"/>
      <c r="H266" s="405"/>
      <c r="I266" s="405"/>
      <c r="J266" s="405"/>
      <c r="K266" s="405"/>
      <c r="L266" s="405"/>
      <c r="M266" s="405"/>
      <c r="N266" s="405"/>
      <c r="O266" s="405"/>
      <c r="P266" s="405"/>
      <c r="Q266" s="138"/>
      <c r="R266" s="138"/>
      <c r="S266" s="138"/>
      <c r="T266" s="138"/>
    </row>
    <row r="267" spans="3:20" s="56" customFormat="1" ht="15" customHeight="1" x14ac:dyDescent="0.25">
      <c r="C267" s="405"/>
      <c r="D267" s="405"/>
      <c r="E267" s="405"/>
      <c r="F267" s="405"/>
      <c r="G267" s="405"/>
      <c r="H267" s="405"/>
      <c r="I267" s="405"/>
      <c r="J267" s="405"/>
      <c r="K267" s="405"/>
      <c r="L267" s="405"/>
      <c r="M267" s="405"/>
      <c r="N267" s="405"/>
      <c r="O267" s="405"/>
      <c r="P267" s="405"/>
      <c r="Q267" s="138"/>
      <c r="R267" s="138"/>
      <c r="S267" s="138"/>
      <c r="T267" s="138"/>
    </row>
    <row r="268" spans="3:20" s="56" customFormat="1" ht="15" customHeight="1" x14ac:dyDescent="0.25">
      <c r="C268" s="405"/>
      <c r="D268" s="405"/>
      <c r="E268" s="405"/>
      <c r="F268" s="405"/>
      <c r="G268" s="405"/>
      <c r="H268" s="405"/>
      <c r="I268" s="405"/>
      <c r="J268" s="405"/>
      <c r="K268" s="405"/>
      <c r="L268" s="405"/>
      <c r="M268" s="405"/>
      <c r="N268" s="405"/>
      <c r="O268" s="405"/>
      <c r="P268" s="405"/>
      <c r="Q268" s="138"/>
      <c r="R268" s="138"/>
      <c r="S268" s="138"/>
      <c r="T268" s="138"/>
    </row>
    <row r="269" spans="3:20" s="56" customFormat="1" ht="15" customHeight="1" x14ac:dyDescent="0.25">
      <c r="C269" s="405"/>
      <c r="D269" s="405"/>
      <c r="E269" s="405"/>
      <c r="F269" s="405"/>
      <c r="G269" s="405"/>
      <c r="H269" s="405"/>
      <c r="I269" s="405"/>
      <c r="J269" s="405"/>
      <c r="K269" s="405"/>
      <c r="L269" s="405"/>
      <c r="M269" s="405"/>
      <c r="N269" s="405"/>
      <c r="O269" s="405"/>
      <c r="P269" s="405"/>
      <c r="Q269" s="138"/>
      <c r="R269" s="138"/>
      <c r="S269" s="138"/>
      <c r="T269" s="138"/>
    </row>
    <row r="270" spans="3:20" s="56" customFormat="1" ht="15" customHeight="1" x14ac:dyDescent="0.25">
      <c r="C270" s="405"/>
      <c r="D270" s="405"/>
      <c r="E270" s="405"/>
      <c r="F270" s="405"/>
      <c r="G270" s="405"/>
      <c r="H270" s="405"/>
      <c r="I270" s="405"/>
      <c r="J270" s="405"/>
      <c r="K270" s="405"/>
      <c r="L270" s="405"/>
      <c r="M270" s="405"/>
      <c r="N270" s="405"/>
      <c r="O270" s="405"/>
      <c r="P270" s="405"/>
      <c r="Q270" s="138"/>
      <c r="R270" s="138"/>
      <c r="S270" s="138"/>
      <c r="T270" s="138"/>
    </row>
    <row r="271" spans="3:20" s="56" customFormat="1" ht="15" customHeight="1" x14ac:dyDescent="0.25">
      <c r="C271" s="405"/>
      <c r="D271" s="405"/>
      <c r="E271" s="405"/>
      <c r="F271" s="405"/>
      <c r="G271" s="405"/>
      <c r="H271" s="405"/>
      <c r="I271" s="405"/>
      <c r="J271" s="405"/>
      <c r="K271" s="405"/>
      <c r="L271" s="405"/>
      <c r="M271" s="405"/>
      <c r="N271" s="405"/>
      <c r="O271" s="405"/>
      <c r="P271" s="405"/>
      <c r="Q271" s="138"/>
      <c r="R271" s="138"/>
      <c r="S271" s="138"/>
      <c r="T271" s="138"/>
    </row>
    <row r="272" spans="3:20" s="56" customFormat="1" ht="15" customHeight="1" x14ac:dyDescent="0.25">
      <c r="C272" s="405"/>
      <c r="D272" s="405"/>
      <c r="E272" s="405"/>
      <c r="F272" s="405"/>
      <c r="G272" s="405"/>
      <c r="H272" s="405"/>
      <c r="I272" s="405"/>
      <c r="J272" s="405"/>
      <c r="K272" s="405"/>
      <c r="L272" s="405"/>
      <c r="M272" s="405"/>
      <c r="N272" s="405"/>
      <c r="O272" s="405"/>
      <c r="P272" s="405"/>
      <c r="Q272" s="138"/>
      <c r="R272" s="138"/>
      <c r="S272" s="138"/>
      <c r="T272" s="138"/>
    </row>
    <row r="273" spans="3:20" s="56" customFormat="1" ht="15" customHeight="1" x14ac:dyDescent="0.25">
      <c r="C273" s="405"/>
      <c r="D273" s="405"/>
      <c r="E273" s="405"/>
      <c r="F273" s="405"/>
      <c r="G273" s="405"/>
      <c r="H273" s="405"/>
      <c r="I273" s="405"/>
      <c r="J273" s="405"/>
      <c r="K273" s="405"/>
      <c r="L273" s="405"/>
      <c r="M273" s="405"/>
      <c r="N273" s="405"/>
      <c r="O273" s="405"/>
      <c r="P273" s="405"/>
      <c r="Q273" s="138"/>
      <c r="R273" s="138"/>
      <c r="S273" s="138"/>
      <c r="T273" s="138"/>
    </row>
    <row r="274" spans="3:20" s="56" customFormat="1" ht="15" customHeight="1" x14ac:dyDescent="0.25">
      <c r="C274" s="405"/>
      <c r="D274" s="405"/>
      <c r="E274" s="405"/>
      <c r="F274" s="405"/>
      <c r="G274" s="405"/>
      <c r="H274" s="405"/>
      <c r="I274" s="405"/>
      <c r="J274" s="405"/>
      <c r="K274" s="405"/>
      <c r="L274" s="405"/>
      <c r="M274" s="405"/>
      <c r="N274" s="405"/>
      <c r="O274" s="405"/>
      <c r="P274" s="405"/>
      <c r="Q274" s="138"/>
      <c r="R274" s="138"/>
      <c r="S274" s="138"/>
      <c r="T274" s="138"/>
    </row>
    <row r="275" spans="3:20" s="56" customFormat="1" ht="15" customHeight="1" x14ac:dyDescent="0.25">
      <c r="C275" s="405"/>
      <c r="D275" s="405"/>
      <c r="E275" s="405"/>
      <c r="F275" s="405"/>
      <c r="G275" s="405"/>
      <c r="H275" s="405"/>
      <c r="I275" s="405"/>
      <c r="J275" s="405"/>
      <c r="K275" s="405"/>
      <c r="L275" s="405"/>
      <c r="M275" s="405"/>
      <c r="N275" s="405"/>
      <c r="O275" s="405"/>
      <c r="P275" s="405"/>
      <c r="Q275" s="138"/>
      <c r="R275" s="138"/>
      <c r="S275" s="138"/>
      <c r="T275" s="138"/>
    </row>
    <row r="276" spans="3:20" s="56" customFormat="1" ht="15" customHeight="1" x14ac:dyDescent="0.25">
      <c r="C276" s="405"/>
      <c r="D276" s="405"/>
      <c r="E276" s="405"/>
      <c r="F276" s="405"/>
      <c r="G276" s="405"/>
      <c r="H276" s="405"/>
      <c r="I276" s="405"/>
      <c r="J276" s="405"/>
      <c r="K276" s="405"/>
      <c r="L276" s="405"/>
      <c r="M276" s="405"/>
      <c r="N276" s="405"/>
      <c r="O276" s="405"/>
      <c r="P276" s="405"/>
      <c r="Q276" s="138"/>
      <c r="R276" s="138"/>
      <c r="S276" s="138"/>
      <c r="T276" s="138"/>
    </row>
    <row r="277" spans="3:20" s="56" customFormat="1" ht="15" customHeight="1" x14ac:dyDescent="0.25">
      <c r="C277" s="405"/>
      <c r="D277" s="405"/>
      <c r="E277" s="405"/>
      <c r="F277" s="405"/>
      <c r="G277" s="405"/>
      <c r="H277" s="405"/>
      <c r="I277" s="405"/>
      <c r="J277" s="405"/>
      <c r="K277" s="405"/>
      <c r="L277" s="405"/>
      <c r="M277" s="405"/>
      <c r="N277" s="405"/>
      <c r="O277" s="405"/>
      <c r="P277" s="405"/>
      <c r="Q277" s="138"/>
      <c r="R277" s="138"/>
      <c r="S277" s="138"/>
      <c r="T277" s="138"/>
    </row>
    <row r="278" spans="3:20" s="56" customFormat="1" ht="15" customHeight="1" x14ac:dyDescent="0.25">
      <c r="C278" s="405"/>
      <c r="D278" s="405"/>
      <c r="E278" s="405"/>
      <c r="F278" s="405"/>
      <c r="G278" s="405"/>
      <c r="H278" s="405"/>
      <c r="I278" s="405"/>
      <c r="J278" s="405"/>
      <c r="K278" s="405"/>
      <c r="L278" s="405"/>
      <c r="M278" s="405"/>
      <c r="N278" s="405"/>
      <c r="O278" s="405"/>
      <c r="P278" s="405"/>
      <c r="Q278" s="138"/>
      <c r="R278" s="138"/>
      <c r="S278" s="138"/>
      <c r="T278" s="138"/>
    </row>
    <row r="279" spans="3:20" s="56" customFormat="1" ht="15" customHeight="1" x14ac:dyDescent="0.25">
      <c r="C279" s="405"/>
      <c r="D279" s="405"/>
      <c r="E279" s="405"/>
      <c r="F279" s="405"/>
      <c r="G279" s="405"/>
      <c r="H279" s="405"/>
      <c r="I279" s="405"/>
      <c r="J279" s="405"/>
      <c r="K279" s="405"/>
      <c r="L279" s="405"/>
      <c r="M279" s="405"/>
      <c r="N279" s="405"/>
      <c r="O279" s="405"/>
      <c r="P279" s="405"/>
      <c r="Q279" s="138"/>
      <c r="R279" s="138"/>
      <c r="S279" s="138"/>
      <c r="T279" s="138"/>
    </row>
    <row r="280" spans="3:20" s="56" customFormat="1" ht="15" customHeight="1" x14ac:dyDescent="0.25">
      <c r="C280" s="405"/>
      <c r="D280" s="405"/>
      <c r="E280" s="405"/>
      <c r="F280" s="405"/>
      <c r="G280" s="405"/>
      <c r="H280" s="405"/>
      <c r="I280" s="405"/>
      <c r="J280" s="405"/>
      <c r="K280" s="405"/>
      <c r="L280" s="405"/>
      <c r="M280" s="405"/>
      <c r="N280" s="405"/>
      <c r="O280" s="405"/>
      <c r="P280" s="405"/>
      <c r="Q280" s="138"/>
      <c r="R280" s="138"/>
      <c r="S280" s="138"/>
      <c r="T280" s="138"/>
    </row>
    <row r="281" spans="3:20" s="56" customFormat="1" ht="15" customHeight="1" x14ac:dyDescent="0.25">
      <c r="C281" s="405"/>
      <c r="D281" s="405"/>
      <c r="E281" s="405"/>
      <c r="F281" s="405"/>
      <c r="G281" s="405"/>
      <c r="H281" s="405"/>
      <c r="I281" s="405"/>
      <c r="J281" s="405"/>
      <c r="K281" s="405"/>
      <c r="L281" s="405"/>
      <c r="M281" s="405"/>
      <c r="N281" s="405"/>
      <c r="O281" s="405"/>
      <c r="P281" s="405"/>
      <c r="Q281" s="138"/>
      <c r="R281" s="138"/>
      <c r="S281" s="138"/>
      <c r="T281" s="138"/>
    </row>
    <row r="282" spans="3:20" s="56" customFormat="1" ht="15" customHeight="1" x14ac:dyDescent="0.25">
      <c r="C282" s="405"/>
      <c r="D282" s="405"/>
      <c r="E282" s="405"/>
      <c r="F282" s="405"/>
      <c r="G282" s="405"/>
      <c r="H282" s="405"/>
      <c r="I282" s="405"/>
      <c r="J282" s="405"/>
      <c r="K282" s="405"/>
      <c r="L282" s="405"/>
      <c r="M282" s="405"/>
      <c r="N282" s="405"/>
      <c r="O282" s="405"/>
      <c r="P282" s="405"/>
      <c r="Q282" s="138"/>
      <c r="R282" s="138"/>
      <c r="S282" s="138"/>
      <c r="T282" s="138"/>
    </row>
    <row r="283" spans="3:20" s="56" customFormat="1" ht="15" customHeight="1" x14ac:dyDescent="0.25">
      <c r="C283" s="405"/>
      <c r="D283" s="405"/>
      <c r="E283" s="405"/>
      <c r="F283" s="405"/>
      <c r="G283" s="405"/>
      <c r="H283" s="405"/>
      <c r="I283" s="405"/>
      <c r="J283" s="405"/>
      <c r="K283" s="405"/>
      <c r="L283" s="405"/>
      <c r="M283" s="405"/>
      <c r="N283" s="405"/>
      <c r="O283" s="405"/>
      <c r="P283" s="405"/>
      <c r="Q283" s="138"/>
      <c r="R283" s="138"/>
      <c r="S283" s="138"/>
      <c r="T283" s="138"/>
    </row>
    <row r="284" spans="3:20" s="56" customFormat="1" ht="15" customHeight="1" x14ac:dyDescent="0.25">
      <c r="C284" s="405"/>
      <c r="D284" s="405"/>
      <c r="E284" s="405"/>
      <c r="F284" s="405"/>
      <c r="G284" s="405"/>
      <c r="H284" s="405"/>
      <c r="I284" s="405"/>
      <c r="J284" s="405"/>
      <c r="K284" s="405"/>
      <c r="L284" s="405"/>
      <c r="M284" s="405"/>
      <c r="N284" s="405"/>
      <c r="O284" s="405"/>
      <c r="P284" s="405"/>
      <c r="Q284" s="138"/>
      <c r="R284" s="138"/>
      <c r="S284" s="138"/>
      <c r="T284" s="138"/>
    </row>
    <row r="285" spans="3:20" s="56" customFormat="1" ht="15" customHeight="1" x14ac:dyDescent="0.25">
      <c r="C285" s="405"/>
      <c r="D285" s="405"/>
      <c r="E285" s="405"/>
      <c r="F285" s="405"/>
      <c r="G285" s="405"/>
      <c r="H285" s="405"/>
      <c r="I285" s="405"/>
      <c r="J285" s="405"/>
      <c r="K285" s="405"/>
      <c r="L285" s="405"/>
      <c r="M285" s="405"/>
      <c r="N285" s="405"/>
      <c r="O285" s="405"/>
      <c r="P285" s="405"/>
      <c r="Q285" s="138"/>
      <c r="R285" s="138"/>
      <c r="S285" s="138"/>
      <c r="T285" s="138"/>
    </row>
    <row r="286" spans="3:20" s="56" customFormat="1" ht="15" customHeight="1" x14ac:dyDescent="0.25">
      <c r="C286" s="405"/>
      <c r="D286" s="405"/>
      <c r="E286" s="405"/>
      <c r="F286" s="405"/>
      <c r="G286" s="405"/>
      <c r="H286" s="405"/>
      <c r="I286" s="405"/>
      <c r="J286" s="405"/>
      <c r="K286" s="405"/>
      <c r="L286" s="405"/>
      <c r="M286" s="405"/>
      <c r="N286" s="405"/>
      <c r="O286" s="405"/>
      <c r="P286" s="405"/>
      <c r="Q286" s="138"/>
      <c r="R286" s="138"/>
      <c r="S286" s="138"/>
      <c r="T286" s="138"/>
    </row>
    <row r="287" spans="3:20" s="56" customFormat="1" ht="15" customHeight="1" x14ac:dyDescent="0.25">
      <c r="C287" s="405"/>
      <c r="D287" s="405"/>
      <c r="E287" s="405"/>
      <c r="F287" s="405"/>
      <c r="G287" s="405"/>
      <c r="H287" s="405"/>
      <c r="I287" s="405"/>
      <c r="J287" s="405"/>
      <c r="K287" s="405"/>
      <c r="L287" s="405"/>
      <c r="M287" s="405"/>
      <c r="N287" s="405"/>
      <c r="O287" s="405"/>
      <c r="P287" s="405"/>
      <c r="Q287" s="138"/>
      <c r="R287" s="138"/>
      <c r="S287" s="138"/>
      <c r="T287" s="138"/>
    </row>
    <row r="288" spans="3:20" s="56" customFormat="1" ht="15" customHeight="1" x14ac:dyDescent="0.25">
      <c r="C288" s="405"/>
      <c r="D288" s="405"/>
      <c r="E288" s="405"/>
      <c r="F288" s="405"/>
      <c r="G288" s="405"/>
      <c r="H288" s="405"/>
      <c r="I288" s="405"/>
      <c r="J288" s="405"/>
      <c r="K288" s="405"/>
      <c r="L288" s="405"/>
      <c r="M288" s="405"/>
      <c r="N288" s="405"/>
      <c r="O288" s="405"/>
      <c r="P288" s="405"/>
      <c r="Q288" s="138"/>
      <c r="R288" s="138"/>
      <c r="S288" s="138"/>
      <c r="T288" s="138"/>
    </row>
    <row r="289" spans="3:20" s="56" customFormat="1" ht="15" customHeight="1" x14ac:dyDescent="0.25">
      <c r="C289" s="405"/>
      <c r="D289" s="405"/>
      <c r="E289" s="405"/>
      <c r="F289" s="405"/>
      <c r="G289" s="405"/>
      <c r="H289" s="405"/>
      <c r="I289" s="405"/>
      <c r="J289" s="405"/>
      <c r="K289" s="405"/>
      <c r="L289" s="405"/>
      <c r="M289" s="405"/>
      <c r="N289" s="405"/>
      <c r="O289" s="405"/>
      <c r="P289" s="405"/>
      <c r="Q289" s="138"/>
      <c r="R289" s="138"/>
      <c r="S289" s="138"/>
      <c r="T289" s="138"/>
    </row>
    <row r="290" spans="3:20" s="56" customFormat="1" ht="15" customHeight="1" x14ac:dyDescent="0.25">
      <c r="C290" s="405"/>
      <c r="D290" s="405"/>
      <c r="E290" s="405"/>
      <c r="F290" s="405"/>
      <c r="G290" s="405"/>
      <c r="H290" s="405"/>
      <c r="I290" s="405"/>
      <c r="J290" s="405"/>
      <c r="K290" s="405"/>
      <c r="L290" s="405"/>
      <c r="M290" s="405"/>
      <c r="N290" s="405"/>
      <c r="O290" s="405"/>
      <c r="P290" s="405"/>
      <c r="Q290" s="138"/>
      <c r="R290" s="138"/>
      <c r="S290" s="138"/>
      <c r="T290" s="138"/>
    </row>
    <row r="291" spans="3:20" s="56" customFormat="1" ht="15" customHeight="1" x14ac:dyDescent="0.25">
      <c r="C291" s="405"/>
      <c r="D291" s="405"/>
      <c r="E291" s="405"/>
      <c r="F291" s="405"/>
      <c r="G291" s="405"/>
      <c r="H291" s="405"/>
      <c r="I291" s="405"/>
      <c r="J291" s="405"/>
      <c r="K291" s="405"/>
      <c r="L291" s="405"/>
      <c r="M291" s="405"/>
      <c r="N291" s="405"/>
      <c r="O291" s="405"/>
      <c r="P291" s="405"/>
      <c r="Q291" s="138"/>
      <c r="R291" s="138"/>
      <c r="S291" s="138"/>
      <c r="T291" s="138"/>
    </row>
    <row r="292" spans="3:20" s="56" customFormat="1" ht="15" customHeight="1" x14ac:dyDescent="0.25">
      <c r="C292" s="405"/>
      <c r="D292" s="405"/>
      <c r="E292" s="405"/>
      <c r="F292" s="405"/>
      <c r="G292" s="405"/>
      <c r="H292" s="405"/>
      <c r="I292" s="405"/>
      <c r="J292" s="405"/>
      <c r="K292" s="405"/>
      <c r="L292" s="405"/>
      <c r="M292" s="405"/>
      <c r="N292" s="405"/>
      <c r="O292" s="405"/>
      <c r="P292" s="405"/>
      <c r="Q292" s="138"/>
      <c r="R292" s="138"/>
      <c r="S292" s="138"/>
      <c r="T292" s="138"/>
    </row>
    <row r="293" spans="3:20" s="56" customFormat="1" ht="15" customHeight="1" x14ac:dyDescent="0.25">
      <c r="C293" s="405"/>
      <c r="D293" s="405"/>
      <c r="E293" s="405"/>
      <c r="F293" s="405"/>
      <c r="G293" s="405"/>
      <c r="H293" s="405"/>
      <c r="I293" s="405"/>
      <c r="J293" s="405"/>
      <c r="K293" s="405"/>
      <c r="L293" s="405"/>
      <c r="M293" s="405"/>
      <c r="N293" s="405"/>
      <c r="O293" s="405"/>
      <c r="P293" s="405"/>
      <c r="Q293" s="138"/>
      <c r="R293" s="138"/>
      <c r="S293" s="138"/>
      <c r="T293" s="138"/>
    </row>
    <row r="294" spans="3:20" s="56" customFormat="1" ht="15" customHeight="1" x14ac:dyDescent="0.25">
      <c r="C294" s="405"/>
      <c r="D294" s="405"/>
      <c r="E294" s="405"/>
      <c r="F294" s="405"/>
      <c r="G294" s="405"/>
      <c r="H294" s="405"/>
      <c r="I294" s="405"/>
      <c r="J294" s="405"/>
      <c r="K294" s="405"/>
      <c r="L294" s="405"/>
      <c r="M294" s="405"/>
      <c r="N294" s="405"/>
      <c r="O294" s="405"/>
      <c r="P294" s="405"/>
      <c r="Q294" s="138"/>
      <c r="R294" s="138"/>
      <c r="S294" s="138"/>
      <c r="T294" s="138"/>
    </row>
    <row r="295" spans="3:20" s="56" customFormat="1" ht="15" customHeight="1" x14ac:dyDescent="0.25">
      <c r="C295" s="405"/>
      <c r="D295" s="405"/>
      <c r="E295" s="405"/>
      <c r="F295" s="405"/>
      <c r="G295" s="405"/>
      <c r="H295" s="405"/>
      <c r="I295" s="405"/>
      <c r="J295" s="405"/>
      <c r="K295" s="405"/>
      <c r="L295" s="405"/>
      <c r="M295" s="405"/>
      <c r="N295" s="405"/>
      <c r="O295" s="405"/>
      <c r="P295" s="405"/>
      <c r="Q295" s="138"/>
      <c r="R295" s="138"/>
      <c r="S295" s="138"/>
      <c r="T295" s="138"/>
    </row>
    <row r="296" spans="3:20" s="56" customFormat="1" ht="15" customHeight="1" x14ac:dyDescent="0.25">
      <c r="C296" s="405"/>
      <c r="D296" s="405"/>
      <c r="E296" s="405"/>
      <c r="F296" s="405"/>
      <c r="G296" s="405"/>
      <c r="H296" s="405"/>
      <c r="I296" s="405"/>
      <c r="J296" s="405"/>
      <c r="K296" s="405"/>
      <c r="L296" s="405"/>
      <c r="M296" s="405"/>
      <c r="N296" s="405"/>
      <c r="O296" s="405"/>
      <c r="P296" s="405"/>
      <c r="Q296" s="138"/>
      <c r="R296" s="138"/>
      <c r="S296" s="138"/>
      <c r="T296" s="138"/>
    </row>
    <row r="297" spans="3:20" s="56" customFormat="1" ht="15" customHeight="1" x14ac:dyDescent="0.25">
      <c r="C297" s="405"/>
      <c r="D297" s="405"/>
      <c r="E297" s="405"/>
      <c r="F297" s="405"/>
      <c r="G297" s="405"/>
      <c r="H297" s="405"/>
      <c r="I297" s="405"/>
      <c r="J297" s="405"/>
      <c r="K297" s="405"/>
      <c r="L297" s="405"/>
      <c r="M297" s="405"/>
      <c r="N297" s="405"/>
      <c r="O297" s="405"/>
      <c r="P297" s="405"/>
      <c r="Q297" s="138"/>
      <c r="R297" s="138"/>
      <c r="S297" s="138"/>
      <c r="T297" s="138"/>
    </row>
    <row r="298" spans="3:20" s="56" customFormat="1" ht="15" customHeight="1" x14ac:dyDescent="0.25">
      <c r="C298" s="405"/>
      <c r="D298" s="405"/>
      <c r="E298" s="405"/>
      <c r="F298" s="405"/>
      <c r="G298" s="405"/>
      <c r="H298" s="405"/>
      <c r="I298" s="405"/>
      <c r="J298" s="405"/>
      <c r="K298" s="405"/>
      <c r="L298" s="405"/>
      <c r="M298" s="405"/>
      <c r="N298" s="405"/>
      <c r="O298" s="405"/>
      <c r="P298" s="405"/>
      <c r="Q298" s="138"/>
      <c r="R298" s="138"/>
      <c r="S298" s="138"/>
      <c r="T298" s="138"/>
    </row>
    <row r="299" spans="3:20" s="56" customFormat="1" ht="15" customHeight="1" x14ac:dyDescent="0.25">
      <c r="C299" s="405"/>
      <c r="D299" s="405"/>
      <c r="E299" s="405"/>
      <c r="F299" s="405"/>
      <c r="G299" s="405"/>
      <c r="H299" s="405"/>
      <c r="I299" s="405"/>
      <c r="J299" s="405"/>
      <c r="K299" s="405"/>
      <c r="L299" s="405"/>
      <c r="M299" s="405"/>
      <c r="N299" s="405"/>
      <c r="O299" s="405"/>
      <c r="P299" s="405"/>
      <c r="Q299" s="138"/>
      <c r="R299" s="138"/>
      <c r="S299" s="138"/>
      <c r="T299" s="138"/>
    </row>
    <row r="300" spans="3:20" s="56" customFormat="1" ht="15" customHeight="1" x14ac:dyDescent="0.25">
      <c r="C300" s="405"/>
      <c r="D300" s="405"/>
      <c r="E300" s="405"/>
      <c r="F300" s="405"/>
      <c r="G300" s="405"/>
      <c r="H300" s="405"/>
      <c r="I300" s="405"/>
      <c r="J300" s="405"/>
      <c r="K300" s="405"/>
      <c r="L300" s="405"/>
      <c r="M300" s="405"/>
      <c r="N300" s="405"/>
      <c r="O300" s="405"/>
      <c r="P300" s="405"/>
      <c r="Q300" s="138"/>
      <c r="R300" s="138"/>
      <c r="S300" s="138"/>
      <c r="T300" s="138"/>
    </row>
    <row r="301" spans="3:20" s="56" customFormat="1" ht="15" customHeight="1" x14ac:dyDescent="0.25">
      <c r="C301" s="405"/>
      <c r="D301" s="405"/>
      <c r="E301" s="405"/>
      <c r="F301" s="405"/>
      <c r="G301" s="405"/>
      <c r="H301" s="405"/>
      <c r="I301" s="405"/>
      <c r="J301" s="405"/>
      <c r="K301" s="405"/>
      <c r="L301" s="405"/>
      <c r="M301" s="405"/>
      <c r="N301" s="405"/>
      <c r="O301" s="405"/>
      <c r="P301" s="405"/>
      <c r="Q301" s="138"/>
      <c r="R301" s="138"/>
      <c r="S301" s="138"/>
      <c r="T301" s="138"/>
    </row>
    <row r="302" spans="3:20" s="56" customFormat="1" ht="15" customHeight="1" x14ac:dyDescent="0.25">
      <c r="C302" s="405"/>
      <c r="D302" s="405"/>
      <c r="E302" s="405"/>
      <c r="F302" s="405"/>
      <c r="G302" s="405"/>
      <c r="H302" s="405"/>
      <c r="I302" s="405"/>
      <c r="J302" s="405"/>
      <c r="K302" s="405"/>
      <c r="L302" s="405"/>
      <c r="M302" s="405"/>
      <c r="N302" s="405"/>
      <c r="O302" s="405"/>
      <c r="P302" s="405"/>
      <c r="Q302" s="138"/>
      <c r="R302" s="138"/>
      <c r="S302" s="138"/>
      <c r="T302" s="138"/>
    </row>
    <row r="303" spans="3:20" s="56" customFormat="1" ht="15" customHeight="1" x14ac:dyDescent="0.25">
      <c r="C303" s="405"/>
      <c r="D303" s="405"/>
      <c r="E303" s="405"/>
      <c r="F303" s="405"/>
      <c r="G303" s="405"/>
      <c r="H303" s="405"/>
      <c r="I303" s="405"/>
      <c r="J303" s="405"/>
      <c r="K303" s="405"/>
      <c r="L303" s="405"/>
      <c r="M303" s="405"/>
      <c r="N303" s="405"/>
      <c r="O303" s="405"/>
      <c r="P303" s="405"/>
      <c r="Q303" s="138"/>
      <c r="R303" s="138"/>
      <c r="S303" s="138"/>
      <c r="T303" s="138"/>
    </row>
    <row r="304" spans="3:20" s="56" customFormat="1" ht="15" customHeight="1" x14ac:dyDescent="0.25">
      <c r="C304" s="405"/>
      <c r="D304" s="405"/>
      <c r="E304" s="405"/>
      <c r="F304" s="405"/>
      <c r="G304" s="405"/>
      <c r="H304" s="405"/>
      <c r="I304" s="405"/>
      <c r="J304" s="405"/>
      <c r="K304" s="405"/>
      <c r="L304" s="405"/>
      <c r="M304" s="405"/>
      <c r="N304" s="405"/>
      <c r="O304" s="405"/>
      <c r="P304" s="405"/>
      <c r="Q304" s="138"/>
      <c r="R304" s="138"/>
      <c r="S304" s="138"/>
      <c r="T304" s="138"/>
    </row>
    <row r="305" spans="3:20" s="56" customFormat="1" ht="15" customHeight="1" x14ac:dyDescent="0.25">
      <c r="C305" s="405"/>
      <c r="D305" s="405"/>
      <c r="E305" s="405"/>
      <c r="F305" s="405"/>
      <c r="G305" s="405"/>
      <c r="H305" s="405"/>
      <c r="I305" s="405"/>
      <c r="J305" s="405"/>
      <c r="K305" s="405"/>
      <c r="L305" s="405"/>
      <c r="M305" s="405"/>
      <c r="N305" s="405"/>
      <c r="O305" s="405"/>
      <c r="P305" s="405"/>
      <c r="Q305" s="138"/>
      <c r="R305" s="138"/>
      <c r="S305" s="138"/>
      <c r="T305" s="138"/>
    </row>
    <row r="306" spans="3:20" s="56" customFormat="1" ht="15" customHeight="1" x14ac:dyDescent="0.25">
      <c r="C306" s="405"/>
      <c r="D306" s="405"/>
      <c r="E306" s="405"/>
      <c r="F306" s="405"/>
      <c r="G306" s="405"/>
      <c r="H306" s="405"/>
      <c r="I306" s="405"/>
      <c r="J306" s="405"/>
      <c r="K306" s="405"/>
      <c r="L306" s="405"/>
      <c r="M306" s="405"/>
      <c r="N306" s="405"/>
      <c r="O306" s="405"/>
      <c r="P306" s="405"/>
      <c r="Q306" s="138"/>
      <c r="R306" s="138"/>
      <c r="S306" s="138"/>
      <c r="T306" s="138"/>
    </row>
    <row r="307" spans="3:20" s="56" customFormat="1" ht="15" customHeight="1" x14ac:dyDescent="0.25">
      <c r="C307" s="405"/>
      <c r="D307" s="405"/>
      <c r="E307" s="405"/>
      <c r="F307" s="405"/>
      <c r="G307" s="405"/>
      <c r="H307" s="405"/>
      <c r="I307" s="405"/>
      <c r="J307" s="405"/>
      <c r="K307" s="405"/>
      <c r="L307" s="405"/>
      <c r="M307" s="405"/>
      <c r="N307" s="405"/>
      <c r="O307" s="405"/>
      <c r="P307" s="405"/>
      <c r="Q307" s="138"/>
      <c r="R307" s="138"/>
      <c r="S307" s="138"/>
      <c r="T307" s="138"/>
    </row>
    <row r="308" spans="3:20" s="56" customFormat="1" ht="15" customHeight="1" x14ac:dyDescent="0.25">
      <c r="C308" s="405"/>
      <c r="D308" s="405"/>
      <c r="E308" s="405"/>
      <c r="F308" s="405"/>
      <c r="G308" s="405"/>
      <c r="H308" s="405"/>
      <c r="I308" s="405"/>
      <c r="J308" s="405"/>
      <c r="K308" s="405"/>
      <c r="L308" s="405"/>
      <c r="M308" s="405"/>
      <c r="N308" s="405"/>
      <c r="O308" s="405"/>
      <c r="P308" s="405"/>
      <c r="Q308" s="138"/>
      <c r="R308" s="138"/>
      <c r="S308" s="138"/>
      <c r="T308" s="138"/>
    </row>
    <row r="309" spans="3:20" s="56" customFormat="1" ht="15" customHeight="1" x14ac:dyDescent="0.25">
      <c r="C309" s="405"/>
      <c r="D309" s="405"/>
      <c r="E309" s="405"/>
      <c r="F309" s="405"/>
      <c r="G309" s="405"/>
      <c r="H309" s="405"/>
      <c r="I309" s="405"/>
      <c r="J309" s="405"/>
      <c r="K309" s="405"/>
      <c r="L309" s="405"/>
      <c r="M309" s="405"/>
      <c r="N309" s="405"/>
      <c r="O309" s="405"/>
      <c r="P309" s="405"/>
      <c r="Q309" s="138"/>
      <c r="R309" s="138"/>
      <c r="S309" s="138"/>
      <c r="T309" s="138"/>
    </row>
    <row r="310" spans="3:20" s="56" customFormat="1" ht="15" customHeight="1" x14ac:dyDescent="0.25">
      <c r="C310" s="405"/>
      <c r="D310" s="405"/>
      <c r="E310" s="405"/>
      <c r="F310" s="405"/>
      <c r="G310" s="405"/>
      <c r="H310" s="405"/>
      <c r="I310" s="405"/>
      <c r="J310" s="405"/>
      <c r="K310" s="405"/>
      <c r="L310" s="405"/>
      <c r="M310" s="405"/>
      <c r="N310" s="405"/>
      <c r="O310" s="405"/>
      <c r="P310" s="405"/>
      <c r="Q310" s="138"/>
      <c r="R310" s="138"/>
      <c r="S310" s="138"/>
      <c r="T310" s="138"/>
    </row>
    <row r="311" spans="3:20" s="56" customFormat="1" ht="15" customHeight="1" x14ac:dyDescent="0.25">
      <c r="C311" s="405"/>
      <c r="D311" s="405"/>
      <c r="E311" s="405"/>
      <c r="F311" s="405"/>
      <c r="G311" s="405"/>
      <c r="H311" s="405"/>
      <c r="I311" s="405"/>
      <c r="J311" s="405"/>
      <c r="K311" s="405"/>
      <c r="L311" s="405"/>
      <c r="M311" s="405"/>
      <c r="N311" s="405"/>
      <c r="O311" s="405"/>
      <c r="P311" s="405"/>
      <c r="Q311" s="138"/>
      <c r="R311" s="138"/>
      <c r="S311" s="138"/>
      <c r="T311" s="138"/>
    </row>
    <row r="312" spans="3:20" s="56" customFormat="1" ht="15" customHeight="1" x14ac:dyDescent="0.25">
      <c r="C312" s="405"/>
      <c r="D312" s="405"/>
      <c r="E312" s="405"/>
      <c r="F312" s="405"/>
      <c r="G312" s="405"/>
      <c r="H312" s="405"/>
      <c r="I312" s="405"/>
      <c r="J312" s="405"/>
      <c r="K312" s="405"/>
      <c r="L312" s="405"/>
      <c r="M312" s="405"/>
      <c r="N312" s="405"/>
      <c r="O312" s="405"/>
      <c r="P312" s="405"/>
      <c r="Q312" s="138"/>
      <c r="R312" s="138"/>
      <c r="S312" s="138"/>
      <c r="T312" s="138"/>
    </row>
    <row r="313" spans="3:20" s="56" customFormat="1" ht="15" customHeight="1" x14ac:dyDescent="0.25">
      <c r="C313" s="405"/>
      <c r="D313" s="405"/>
      <c r="E313" s="405"/>
      <c r="F313" s="405"/>
      <c r="G313" s="405"/>
      <c r="H313" s="405"/>
      <c r="I313" s="405"/>
      <c r="J313" s="405"/>
      <c r="K313" s="405"/>
      <c r="L313" s="405"/>
      <c r="M313" s="405"/>
      <c r="N313" s="405"/>
      <c r="O313" s="405"/>
      <c r="P313" s="405"/>
      <c r="Q313" s="138"/>
      <c r="R313" s="138"/>
      <c r="S313" s="138"/>
      <c r="T313" s="138"/>
    </row>
    <row r="314" spans="3:20" s="56" customFormat="1" ht="15" customHeight="1" x14ac:dyDescent="0.25">
      <c r="C314" s="405"/>
      <c r="D314" s="405"/>
      <c r="E314" s="405"/>
      <c r="F314" s="405"/>
      <c r="G314" s="405"/>
      <c r="H314" s="405"/>
      <c r="I314" s="405"/>
      <c r="J314" s="405"/>
      <c r="K314" s="405"/>
      <c r="L314" s="405"/>
      <c r="M314" s="405"/>
      <c r="N314" s="405"/>
      <c r="O314" s="405"/>
      <c r="P314" s="405"/>
      <c r="Q314" s="138"/>
      <c r="R314" s="138"/>
      <c r="S314" s="138"/>
      <c r="T314" s="138"/>
    </row>
    <row r="315" spans="3:20" s="56" customFormat="1" ht="15" customHeight="1" x14ac:dyDescent="0.25">
      <c r="C315" s="405"/>
      <c r="D315" s="405"/>
      <c r="E315" s="405"/>
      <c r="F315" s="405"/>
      <c r="G315" s="405"/>
      <c r="H315" s="405"/>
      <c r="I315" s="405"/>
      <c r="J315" s="405"/>
      <c r="K315" s="405"/>
      <c r="L315" s="405"/>
      <c r="M315" s="405"/>
      <c r="N315" s="405"/>
      <c r="O315" s="405"/>
      <c r="P315" s="405"/>
      <c r="Q315" s="138"/>
      <c r="R315" s="138"/>
      <c r="S315" s="138"/>
      <c r="T315" s="138"/>
    </row>
    <row r="316" spans="3:20" s="56" customFormat="1" ht="15" customHeight="1" x14ac:dyDescent="0.25">
      <c r="C316" s="405"/>
      <c r="D316" s="405"/>
      <c r="E316" s="405"/>
      <c r="F316" s="405"/>
      <c r="G316" s="405"/>
      <c r="H316" s="405"/>
      <c r="I316" s="405"/>
      <c r="J316" s="405"/>
      <c r="K316" s="405"/>
      <c r="L316" s="405"/>
      <c r="M316" s="405"/>
      <c r="N316" s="405"/>
      <c r="O316" s="405"/>
      <c r="P316" s="405"/>
      <c r="Q316" s="138"/>
      <c r="R316" s="138"/>
      <c r="S316" s="138"/>
      <c r="T316" s="138"/>
    </row>
    <row r="317" spans="3:20" s="56" customFormat="1" ht="15" customHeight="1" x14ac:dyDescent="0.25">
      <c r="C317" s="405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  <c r="N317" s="405"/>
      <c r="O317" s="405"/>
      <c r="P317" s="405"/>
      <c r="Q317" s="138"/>
      <c r="R317" s="138"/>
      <c r="S317" s="138"/>
      <c r="T317" s="138"/>
    </row>
    <row r="318" spans="3:20" s="56" customFormat="1" ht="15" customHeight="1" x14ac:dyDescent="0.25">
      <c r="C318" s="405"/>
      <c r="D318" s="405"/>
      <c r="E318" s="405"/>
      <c r="F318" s="405"/>
      <c r="G318" s="405"/>
      <c r="H318" s="405"/>
      <c r="I318" s="405"/>
      <c r="J318" s="405"/>
      <c r="K318" s="405"/>
      <c r="L318" s="405"/>
      <c r="M318" s="405"/>
      <c r="N318" s="405"/>
      <c r="O318" s="405"/>
      <c r="P318" s="405"/>
      <c r="Q318" s="138"/>
      <c r="R318" s="138"/>
      <c r="S318" s="138"/>
      <c r="T318" s="138"/>
    </row>
    <row r="319" spans="3:20" s="56" customFormat="1" ht="15" customHeight="1" x14ac:dyDescent="0.25">
      <c r="C319" s="405"/>
      <c r="D319" s="405"/>
      <c r="E319" s="405"/>
      <c r="F319" s="405"/>
      <c r="G319" s="405"/>
      <c r="H319" s="405"/>
      <c r="I319" s="405"/>
      <c r="J319" s="405"/>
      <c r="K319" s="405"/>
      <c r="L319" s="405"/>
      <c r="M319" s="405"/>
      <c r="N319" s="405"/>
      <c r="O319" s="405"/>
      <c r="P319" s="405"/>
      <c r="Q319" s="138"/>
      <c r="R319" s="138"/>
      <c r="S319" s="138"/>
      <c r="T319" s="138"/>
    </row>
    <row r="320" spans="3:20" s="56" customFormat="1" ht="15" customHeight="1" x14ac:dyDescent="0.25">
      <c r="C320" s="405"/>
      <c r="D320" s="405"/>
      <c r="E320" s="405"/>
      <c r="F320" s="405"/>
      <c r="G320" s="405"/>
      <c r="H320" s="405"/>
      <c r="I320" s="405"/>
      <c r="J320" s="405"/>
      <c r="K320" s="405"/>
      <c r="L320" s="405"/>
      <c r="M320" s="405"/>
      <c r="N320" s="405"/>
      <c r="O320" s="405"/>
      <c r="P320" s="405"/>
      <c r="Q320" s="138"/>
      <c r="R320" s="138"/>
      <c r="S320" s="138"/>
      <c r="T320" s="138"/>
    </row>
    <row r="321" spans="3:20" s="56" customFormat="1" ht="15" customHeight="1" x14ac:dyDescent="0.25">
      <c r="C321" s="405"/>
      <c r="D321" s="405"/>
      <c r="E321" s="405"/>
      <c r="F321" s="405"/>
      <c r="G321" s="405"/>
      <c r="H321" s="405"/>
      <c r="I321" s="405"/>
      <c r="J321" s="405"/>
      <c r="K321" s="405"/>
      <c r="L321" s="405"/>
      <c r="M321" s="405"/>
      <c r="N321" s="405"/>
      <c r="O321" s="405"/>
      <c r="P321" s="405"/>
      <c r="Q321" s="138"/>
      <c r="R321" s="138"/>
      <c r="S321" s="138"/>
      <c r="T321" s="138"/>
    </row>
    <row r="322" spans="3:20" x14ac:dyDescent="0.25">
      <c r="C322" s="137"/>
      <c r="D322" s="137"/>
      <c r="E322" s="137"/>
      <c r="F322" s="137"/>
      <c r="G322" s="137"/>
      <c r="H322" s="137"/>
      <c r="I322" s="137"/>
      <c r="J322" s="137"/>
      <c r="K322" s="137"/>
      <c r="L322" s="137"/>
      <c r="M322" s="137"/>
      <c r="N322" s="137"/>
      <c r="O322" s="137"/>
      <c r="P322" s="137"/>
    </row>
    <row r="323" spans="3:20" x14ac:dyDescent="0.25">
      <c r="C323" s="137"/>
      <c r="D323" s="137"/>
      <c r="E323" s="137"/>
      <c r="F323" s="137"/>
      <c r="G323" s="137"/>
      <c r="H323" s="137"/>
      <c r="I323" s="137"/>
      <c r="J323" s="137"/>
      <c r="K323" s="137"/>
      <c r="L323" s="137"/>
      <c r="M323" s="137"/>
      <c r="N323" s="137"/>
      <c r="O323" s="137"/>
      <c r="P323" s="137"/>
    </row>
    <row r="324" spans="3:20" x14ac:dyDescent="0.25">
      <c r="C324" s="137"/>
      <c r="D324" s="137"/>
      <c r="E324" s="137"/>
      <c r="F324" s="137"/>
      <c r="G324" s="137"/>
      <c r="H324" s="137"/>
      <c r="I324" s="137"/>
      <c r="J324" s="137"/>
      <c r="K324" s="137"/>
      <c r="L324" s="137"/>
      <c r="M324" s="137"/>
      <c r="N324" s="137"/>
      <c r="O324" s="137"/>
      <c r="P324" s="137"/>
    </row>
    <row r="325" spans="3:20" x14ac:dyDescent="0.25">
      <c r="C325" s="137"/>
      <c r="D325" s="137"/>
      <c r="E325" s="137"/>
      <c r="F325" s="137"/>
      <c r="G325" s="137"/>
      <c r="H325" s="137"/>
      <c r="I325" s="137"/>
      <c r="J325" s="137"/>
      <c r="K325" s="137"/>
      <c r="L325" s="137"/>
      <c r="M325" s="137"/>
      <c r="N325" s="137"/>
      <c r="O325" s="137"/>
      <c r="P325" s="137"/>
    </row>
    <row r="326" spans="3:20" x14ac:dyDescent="0.25">
      <c r="C326" s="137"/>
      <c r="D326" s="137"/>
      <c r="E326" s="137"/>
      <c r="F326" s="137"/>
      <c r="G326" s="137"/>
      <c r="H326" s="137"/>
      <c r="I326" s="137"/>
      <c r="J326" s="137"/>
      <c r="K326" s="137"/>
      <c r="L326" s="137"/>
      <c r="M326" s="137"/>
      <c r="N326" s="137"/>
      <c r="O326" s="137"/>
      <c r="P326" s="137"/>
    </row>
    <row r="327" spans="3:20" x14ac:dyDescent="0.25">
      <c r="C327" s="137"/>
      <c r="D327" s="137"/>
      <c r="E327" s="137"/>
      <c r="F327" s="137"/>
      <c r="G327" s="137"/>
      <c r="H327" s="137"/>
      <c r="I327" s="137"/>
      <c r="J327" s="137"/>
      <c r="K327" s="137"/>
      <c r="L327" s="137"/>
      <c r="M327" s="137"/>
      <c r="N327" s="137"/>
      <c r="O327" s="137"/>
      <c r="P327" s="137"/>
    </row>
    <row r="328" spans="3:20" x14ac:dyDescent="0.25">
      <c r="C328" s="137"/>
      <c r="D328" s="137"/>
      <c r="E328" s="137"/>
      <c r="F328" s="137"/>
      <c r="G328" s="137"/>
      <c r="H328" s="137"/>
      <c r="I328" s="137"/>
      <c r="J328" s="137"/>
      <c r="K328" s="137"/>
      <c r="L328" s="137"/>
      <c r="M328" s="137"/>
      <c r="N328" s="137"/>
      <c r="O328" s="137"/>
      <c r="P328" s="137"/>
    </row>
    <row r="329" spans="3:20" x14ac:dyDescent="0.25">
      <c r="C329" s="137"/>
      <c r="D329" s="137"/>
      <c r="E329" s="137"/>
      <c r="F329" s="137"/>
      <c r="G329" s="137"/>
      <c r="H329" s="137"/>
      <c r="I329" s="137"/>
      <c r="J329" s="137"/>
      <c r="K329" s="137"/>
      <c r="L329" s="137"/>
      <c r="M329" s="137"/>
      <c r="N329" s="137"/>
      <c r="O329" s="137"/>
      <c r="P329" s="137"/>
    </row>
    <row r="330" spans="3:20" x14ac:dyDescent="0.25">
      <c r="C330" s="137"/>
      <c r="D330" s="137"/>
      <c r="E330" s="137"/>
      <c r="F330" s="137"/>
      <c r="G330" s="137"/>
      <c r="H330" s="137"/>
      <c r="I330" s="137"/>
      <c r="J330" s="137"/>
      <c r="K330" s="137"/>
      <c r="L330" s="137"/>
      <c r="M330" s="137"/>
      <c r="N330" s="137"/>
      <c r="O330" s="137"/>
      <c r="P330" s="137"/>
    </row>
    <row r="331" spans="3:20" x14ac:dyDescent="0.25">
      <c r="C331" s="137"/>
      <c r="D331" s="137"/>
      <c r="E331" s="137"/>
      <c r="F331" s="137"/>
      <c r="G331" s="137"/>
      <c r="H331" s="137"/>
      <c r="I331" s="137"/>
      <c r="J331" s="137"/>
      <c r="K331" s="137"/>
      <c r="L331" s="137"/>
      <c r="M331" s="137"/>
      <c r="N331" s="137"/>
      <c r="O331" s="137"/>
      <c r="P331" s="137"/>
    </row>
    <row r="332" spans="3:20" x14ac:dyDescent="0.25">
      <c r="C332" s="137"/>
      <c r="D332" s="137"/>
      <c r="E332" s="137"/>
      <c r="F332" s="137"/>
      <c r="G332" s="137"/>
      <c r="H332" s="137"/>
      <c r="I332" s="137"/>
      <c r="J332" s="137"/>
      <c r="K332" s="137"/>
      <c r="L332" s="137"/>
      <c r="M332" s="137"/>
      <c r="N332" s="137"/>
      <c r="O332" s="137"/>
      <c r="P332" s="137"/>
    </row>
    <row r="333" spans="3:20" x14ac:dyDescent="0.25">
      <c r="C333" s="137"/>
      <c r="D333" s="137"/>
      <c r="E333" s="137"/>
      <c r="F333" s="137"/>
      <c r="G333" s="137"/>
      <c r="H333" s="137"/>
      <c r="I333" s="137"/>
      <c r="J333" s="137"/>
      <c r="K333" s="137"/>
      <c r="L333" s="137"/>
      <c r="M333" s="137"/>
      <c r="N333" s="137"/>
      <c r="O333" s="137"/>
      <c r="P333" s="137"/>
    </row>
    <row r="334" spans="3:20" x14ac:dyDescent="0.25">
      <c r="C334" s="137"/>
      <c r="D334" s="137"/>
      <c r="E334" s="137"/>
      <c r="F334" s="137"/>
      <c r="G334" s="137"/>
      <c r="H334" s="137"/>
      <c r="I334" s="137"/>
      <c r="J334" s="137"/>
      <c r="K334" s="137"/>
      <c r="L334" s="137"/>
      <c r="M334" s="137"/>
      <c r="N334" s="137"/>
      <c r="O334" s="137"/>
      <c r="P334" s="137"/>
    </row>
    <row r="335" spans="3:20" x14ac:dyDescent="0.25">
      <c r="C335" s="137"/>
      <c r="D335" s="137"/>
      <c r="E335" s="137"/>
      <c r="F335" s="137"/>
      <c r="G335" s="137"/>
      <c r="H335" s="137"/>
      <c r="I335" s="137"/>
      <c r="J335" s="137"/>
      <c r="K335" s="137"/>
      <c r="L335" s="137"/>
      <c r="M335" s="137"/>
      <c r="N335" s="137"/>
      <c r="O335" s="137"/>
      <c r="P335" s="137"/>
    </row>
    <row r="336" spans="3:20" x14ac:dyDescent="0.25">
      <c r="C336" s="137"/>
      <c r="D336" s="137"/>
      <c r="E336" s="137"/>
      <c r="F336" s="137"/>
      <c r="G336" s="137"/>
      <c r="H336" s="137"/>
      <c r="I336" s="137"/>
      <c r="J336" s="137"/>
      <c r="K336" s="137"/>
      <c r="L336" s="137"/>
      <c r="M336" s="137"/>
      <c r="N336" s="137"/>
      <c r="O336" s="137"/>
      <c r="P336" s="137"/>
    </row>
    <row r="337" spans="3:16" x14ac:dyDescent="0.25">
      <c r="C337" s="137"/>
      <c r="D337" s="137"/>
      <c r="E337" s="137"/>
      <c r="F337" s="137"/>
      <c r="G337" s="137"/>
      <c r="H337" s="137"/>
      <c r="I337" s="137"/>
      <c r="J337" s="137"/>
      <c r="K337" s="137"/>
      <c r="L337" s="137"/>
      <c r="M337" s="137"/>
      <c r="N337" s="137"/>
      <c r="O337" s="137"/>
      <c r="P337" s="137"/>
    </row>
    <row r="338" spans="3:16" x14ac:dyDescent="0.25">
      <c r="C338" s="137"/>
      <c r="D338" s="137"/>
      <c r="E338" s="137"/>
      <c r="F338" s="137"/>
      <c r="G338" s="137"/>
      <c r="H338" s="137"/>
      <c r="I338" s="137"/>
      <c r="J338" s="137"/>
      <c r="K338" s="137"/>
      <c r="L338" s="137"/>
      <c r="M338" s="137"/>
      <c r="N338" s="137"/>
      <c r="O338" s="137"/>
      <c r="P338" s="137"/>
    </row>
    <row r="339" spans="3:16" x14ac:dyDescent="0.25">
      <c r="C339" s="137"/>
      <c r="D339" s="137"/>
      <c r="E339" s="137"/>
      <c r="F339" s="137"/>
      <c r="G339" s="137"/>
      <c r="H339" s="137"/>
      <c r="I339" s="137"/>
      <c r="J339" s="137"/>
      <c r="K339" s="137"/>
      <c r="L339" s="137"/>
      <c r="M339" s="137"/>
      <c r="N339" s="137"/>
      <c r="O339" s="137"/>
      <c r="P339" s="137"/>
    </row>
    <row r="340" spans="3:16" x14ac:dyDescent="0.25">
      <c r="C340" s="137"/>
      <c r="D340" s="137"/>
      <c r="E340" s="137"/>
      <c r="F340" s="137"/>
      <c r="G340" s="137"/>
      <c r="H340" s="137"/>
      <c r="I340" s="137"/>
      <c r="J340" s="137"/>
      <c r="K340" s="137"/>
      <c r="L340" s="137"/>
      <c r="M340" s="137"/>
      <c r="N340" s="137"/>
      <c r="O340" s="137"/>
      <c r="P340" s="137"/>
    </row>
    <row r="341" spans="3:16" x14ac:dyDescent="0.25">
      <c r="C341" s="137"/>
      <c r="D341" s="137"/>
      <c r="E341" s="137"/>
      <c r="F341" s="137"/>
      <c r="G341" s="137"/>
      <c r="H341" s="137"/>
      <c r="I341" s="137"/>
      <c r="J341" s="137"/>
      <c r="K341" s="137"/>
      <c r="L341" s="137"/>
      <c r="M341" s="137"/>
      <c r="N341" s="137"/>
      <c r="O341" s="137"/>
      <c r="P341" s="137"/>
    </row>
    <row r="342" spans="3:16" x14ac:dyDescent="0.25">
      <c r="C342" s="137"/>
      <c r="D342" s="137"/>
      <c r="E342" s="137"/>
      <c r="F342" s="137"/>
      <c r="G342" s="137"/>
      <c r="H342" s="137"/>
      <c r="I342" s="137"/>
      <c r="J342" s="137"/>
      <c r="K342" s="137"/>
      <c r="L342" s="137"/>
      <c r="M342" s="137"/>
      <c r="N342" s="137"/>
      <c r="O342" s="137"/>
      <c r="P342" s="137"/>
    </row>
    <row r="343" spans="3:16" x14ac:dyDescent="0.25">
      <c r="C343" s="137"/>
      <c r="D343" s="137"/>
      <c r="E343" s="137"/>
      <c r="F343" s="137"/>
      <c r="G343" s="137"/>
      <c r="H343" s="137"/>
      <c r="I343" s="137"/>
      <c r="J343" s="137"/>
      <c r="K343" s="137"/>
      <c r="L343" s="137"/>
      <c r="M343" s="137"/>
      <c r="N343" s="137"/>
      <c r="O343" s="137"/>
      <c r="P343" s="137"/>
    </row>
    <row r="344" spans="3:16" x14ac:dyDescent="0.25">
      <c r="C344" s="137"/>
      <c r="D344" s="137"/>
      <c r="E344" s="137"/>
      <c r="F344" s="137"/>
      <c r="G344" s="137"/>
      <c r="H344" s="137"/>
      <c r="I344" s="137"/>
      <c r="J344" s="137"/>
      <c r="K344" s="137"/>
      <c r="L344" s="137"/>
      <c r="M344" s="137"/>
      <c r="N344" s="137"/>
      <c r="O344" s="137"/>
      <c r="P344" s="137"/>
    </row>
    <row r="345" spans="3:16" x14ac:dyDescent="0.25">
      <c r="C345" s="137"/>
      <c r="D345" s="137"/>
      <c r="E345" s="137"/>
      <c r="F345" s="137"/>
      <c r="G345" s="137"/>
      <c r="H345" s="137"/>
      <c r="I345" s="137"/>
      <c r="J345" s="137"/>
      <c r="K345" s="137"/>
      <c r="L345" s="137"/>
      <c r="M345" s="137"/>
      <c r="N345" s="137"/>
      <c r="O345" s="137"/>
      <c r="P345" s="137"/>
    </row>
    <row r="346" spans="3:16" x14ac:dyDescent="0.25">
      <c r="C346" s="137"/>
      <c r="D346" s="137"/>
      <c r="E346" s="137"/>
      <c r="F346" s="137"/>
      <c r="G346" s="137"/>
      <c r="H346" s="137"/>
      <c r="I346" s="137"/>
      <c r="J346" s="137"/>
      <c r="K346" s="137"/>
      <c r="L346" s="137"/>
      <c r="M346" s="137"/>
      <c r="N346" s="137"/>
      <c r="O346" s="137"/>
      <c r="P346" s="137"/>
    </row>
    <row r="347" spans="3:16" x14ac:dyDescent="0.25">
      <c r="C347" s="137"/>
      <c r="D347" s="137"/>
      <c r="E347" s="137"/>
      <c r="F347" s="137"/>
      <c r="G347" s="137"/>
      <c r="H347" s="137"/>
      <c r="I347" s="137"/>
      <c r="J347" s="137"/>
      <c r="K347" s="137"/>
      <c r="L347" s="137"/>
      <c r="M347" s="137"/>
      <c r="N347" s="137"/>
      <c r="O347" s="137"/>
      <c r="P347" s="137"/>
    </row>
    <row r="348" spans="3:16" x14ac:dyDescent="0.25">
      <c r="C348" s="137"/>
      <c r="D348" s="137"/>
      <c r="E348" s="137"/>
      <c r="F348" s="137"/>
      <c r="G348" s="137"/>
      <c r="H348" s="137"/>
      <c r="I348" s="137"/>
      <c r="J348" s="137"/>
      <c r="K348" s="137"/>
      <c r="L348" s="137"/>
      <c r="M348" s="137"/>
      <c r="N348" s="137"/>
      <c r="O348" s="137"/>
      <c r="P348" s="137"/>
    </row>
    <row r="349" spans="3:16" x14ac:dyDescent="0.25">
      <c r="C349" s="137"/>
      <c r="D349" s="137"/>
      <c r="E349" s="137"/>
      <c r="F349" s="137"/>
      <c r="G349" s="137"/>
      <c r="H349" s="137"/>
      <c r="I349" s="137"/>
      <c r="J349" s="137"/>
      <c r="K349" s="137"/>
      <c r="L349" s="137"/>
      <c r="M349" s="137"/>
      <c r="N349" s="137"/>
      <c r="O349" s="137"/>
      <c r="P349" s="137"/>
    </row>
    <row r="350" spans="3:16" x14ac:dyDescent="0.25">
      <c r="C350" s="137"/>
      <c r="D350" s="137"/>
      <c r="E350" s="137"/>
      <c r="F350" s="137"/>
      <c r="G350" s="137"/>
      <c r="H350" s="137"/>
      <c r="I350" s="137"/>
      <c r="J350" s="137"/>
      <c r="K350" s="137"/>
      <c r="L350" s="137"/>
      <c r="M350" s="137"/>
      <c r="N350" s="137"/>
      <c r="O350" s="137"/>
      <c r="P350" s="137"/>
    </row>
    <row r="351" spans="3:16" x14ac:dyDescent="0.25">
      <c r="C351" s="137"/>
      <c r="D351" s="137"/>
      <c r="E351" s="137"/>
      <c r="F351" s="137"/>
      <c r="G351" s="137"/>
      <c r="H351" s="137"/>
      <c r="I351" s="137"/>
      <c r="J351" s="137"/>
      <c r="K351" s="137"/>
      <c r="L351" s="137"/>
      <c r="M351" s="137"/>
      <c r="N351" s="137"/>
      <c r="O351" s="137"/>
      <c r="P351" s="137"/>
    </row>
    <row r="352" spans="3:16" x14ac:dyDescent="0.25">
      <c r="C352" s="137"/>
      <c r="D352" s="137"/>
      <c r="E352" s="137"/>
      <c r="F352" s="137"/>
      <c r="G352" s="137"/>
      <c r="H352" s="137"/>
      <c r="I352" s="137"/>
      <c r="J352" s="137"/>
      <c r="K352" s="137"/>
      <c r="L352" s="137"/>
      <c r="M352" s="137"/>
      <c r="N352" s="137"/>
      <c r="O352" s="137"/>
      <c r="P352" s="137"/>
    </row>
    <row r="353" spans="3:16" x14ac:dyDescent="0.25">
      <c r="C353" s="137"/>
      <c r="D353" s="137"/>
      <c r="E353" s="137"/>
      <c r="F353" s="137"/>
      <c r="G353" s="137"/>
      <c r="H353" s="137"/>
      <c r="I353" s="137"/>
      <c r="J353" s="137"/>
      <c r="K353" s="137"/>
      <c r="L353" s="137"/>
      <c r="M353" s="137"/>
      <c r="N353" s="137"/>
      <c r="O353" s="137"/>
      <c r="P353" s="137"/>
    </row>
    <row r="354" spans="3:16" x14ac:dyDescent="0.25">
      <c r="C354" s="137"/>
      <c r="D354" s="137"/>
      <c r="E354" s="137"/>
      <c r="F354" s="137"/>
      <c r="G354" s="137"/>
      <c r="H354" s="137"/>
      <c r="I354" s="137"/>
      <c r="J354" s="137"/>
      <c r="K354" s="137"/>
      <c r="L354" s="137"/>
      <c r="M354" s="137"/>
      <c r="N354" s="137"/>
      <c r="O354" s="137"/>
      <c r="P354" s="137"/>
    </row>
    <row r="355" spans="3:16" x14ac:dyDescent="0.25">
      <c r="C355" s="137"/>
      <c r="D355" s="137"/>
      <c r="E355" s="137"/>
      <c r="F355" s="137"/>
      <c r="G355" s="137"/>
      <c r="H355" s="137"/>
      <c r="I355" s="137"/>
      <c r="J355" s="137"/>
      <c r="K355" s="137"/>
      <c r="L355" s="137"/>
      <c r="M355" s="137"/>
      <c r="N355" s="137"/>
      <c r="O355" s="137"/>
      <c r="P355" s="137"/>
    </row>
    <row r="356" spans="3:16" x14ac:dyDescent="0.25">
      <c r="C356" s="137"/>
      <c r="D356" s="137"/>
      <c r="E356" s="137"/>
      <c r="F356" s="137"/>
      <c r="G356" s="137"/>
      <c r="H356" s="137"/>
      <c r="I356" s="137"/>
      <c r="J356" s="137"/>
      <c r="K356" s="137"/>
      <c r="L356" s="137"/>
      <c r="M356" s="137"/>
      <c r="N356" s="137"/>
      <c r="O356" s="137"/>
      <c r="P356" s="137"/>
    </row>
    <row r="357" spans="3:16" x14ac:dyDescent="0.25">
      <c r="C357" s="137"/>
      <c r="D357" s="137"/>
      <c r="E357" s="137"/>
      <c r="F357" s="137"/>
      <c r="G357" s="137"/>
      <c r="H357" s="137"/>
      <c r="I357" s="137"/>
      <c r="J357" s="137"/>
      <c r="K357" s="137"/>
      <c r="L357" s="137"/>
      <c r="M357" s="137"/>
      <c r="N357" s="137"/>
      <c r="O357" s="137"/>
      <c r="P357" s="137"/>
    </row>
    <row r="358" spans="3:16" x14ac:dyDescent="0.25">
      <c r="C358" s="137"/>
      <c r="D358" s="137"/>
      <c r="E358" s="137"/>
      <c r="F358" s="137"/>
      <c r="G358" s="137"/>
      <c r="H358" s="137"/>
      <c r="I358" s="137"/>
      <c r="J358" s="137"/>
      <c r="K358" s="137"/>
      <c r="L358" s="137"/>
      <c r="M358" s="137"/>
      <c r="N358" s="137"/>
      <c r="O358" s="137"/>
      <c r="P358" s="137"/>
    </row>
    <row r="359" spans="3:16" x14ac:dyDescent="0.25">
      <c r="C359" s="137"/>
      <c r="D359" s="137"/>
      <c r="E359" s="137"/>
      <c r="F359" s="137"/>
      <c r="G359" s="137"/>
      <c r="H359" s="137"/>
      <c r="I359" s="137"/>
      <c r="J359" s="137"/>
      <c r="K359" s="137"/>
      <c r="L359" s="137"/>
      <c r="M359" s="137"/>
      <c r="N359" s="137"/>
      <c r="O359" s="137"/>
      <c r="P359" s="137"/>
    </row>
    <row r="360" spans="3:16" x14ac:dyDescent="0.25">
      <c r="C360" s="137"/>
      <c r="D360" s="137"/>
      <c r="E360" s="137"/>
      <c r="F360" s="137"/>
      <c r="G360" s="137"/>
      <c r="H360" s="137"/>
      <c r="I360" s="137"/>
      <c r="J360" s="137"/>
      <c r="K360" s="137"/>
      <c r="L360" s="137"/>
      <c r="M360" s="137"/>
      <c r="N360" s="137"/>
      <c r="O360" s="137"/>
      <c r="P360" s="137"/>
    </row>
    <row r="361" spans="3:16" x14ac:dyDescent="0.25">
      <c r="C361" s="137"/>
      <c r="D361" s="137"/>
      <c r="E361" s="137"/>
      <c r="F361" s="137"/>
      <c r="G361" s="137"/>
      <c r="H361" s="137"/>
      <c r="I361" s="137"/>
      <c r="J361" s="137"/>
      <c r="K361" s="137"/>
      <c r="L361" s="137"/>
      <c r="M361" s="137"/>
      <c r="N361" s="137"/>
      <c r="O361" s="137"/>
      <c r="P361" s="137"/>
    </row>
    <row r="362" spans="3:16" x14ac:dyDescent="0.25">
      <c r="C362" s="137"/>
      <c r="D362" s="137"/>
      <c r="E362" s="137"/>
      <c r="F362" s="137"/>
      <c r="G362" s="137"/>
      <c r="H362" s="137"/>
      <c r="I362" s="137"/>
      <c r="J362" s="137"/>
      <c r="K362" s="137"/>
      <c r="L362" s="137"/>
      <c r="M362" s="137"/>
      <c r="N362" s="137"/>
      <c r="O362" s="137"/>
      <c r="P362" s="137"/>
    </row>
    <row r="363" spans="3:16" x14ac:dyDescent="0.25">
      <c r="C363" s="137"/>
      <c r="D363" s="137"/>
      <c r="E363" s="137"/>
      <c r="F363" s="137"/>
      <c r="G363" s="137"/>
      <c r="H363" s="137"/>
      <c r="I363" s="137"/>
      <c r="J363" s="137"/>
      <c r="K363" s="137"/>
      <c r="L363" s="137"/>
      <c r="M363" s="137"/>
      <c r="N363" s="137"/>
      <c r="O363" s="137"/>
      <c r="P363" s="137"/>
    </row>
    <row r="364" spans="3:16" x14ac:dyDescent="0.25">
      <c r="C364" s="137"/>
      <c r="D364" s="137"/>
      <c r="E364" s="137"/>
      <c r="F364" s="137"/>
      <c r="G364" s="137"/>
      <c r="H364" s="137"/>
      <c r="I364" s="137"/>
      <c r="J364" s="137"/>
      <c r="K364" s="137"/>
      <c r="L364" s="137"/>
      <c r="M364" s="137"/>
      <c r="N364" s="137"/>
      <c r="O364" s="137"/>
      <c r="P364" s="137"/>
    </row>
    <row r="365" spans="3:16" x14ac:dyDescent="0.25">
      <c r="C365" s="137"/>
      <c r="D365" s="137"/>
      <c r="E365" s="137"/>
      <c r="F365" s="137"/>
      <c r="G365" s="137"/>
      <c r="H365" s="137"/>
      <c r="I365" s="137"/>
      <c r="J365" s="137"/>
      <c r="K365" s="137"/>
      <c r="L365" s="137"/>
      <c r="M365" s="137"/>
      <c r="N365" s="137"/>
      <c r="O365" s="137"/>
      <c r="P365" s="137"/>
    </row>
    <row r="366" spans="3:16" x14ac:dyDescent="0.25">
      <c r="C366" s="137"/>
      <c r="D366" s="137"/>
      <c r="E366" s="137"/>
      <c r="F366" s="137"/>
      <c r="G366" s="137"/>
      <c r="H366" s="137"/>
      <c r="I366" s="137"/>
      <c r="J366" s="137"/>
      <c r="K366" s="137"/>
      <c r="L366" s="137"/>
      <c r="M366" s="137"/>
      <c r="N366" s="137"/>
      <c r="O366" s="137"/>
      <c r="P366" s="137"/>
    </row>
    <row r="367" spans="3:16" x14ac:dyDescent="0.25">
      <c r="C367" s="137"/>
      <c r="D367" s="137"/>
      <c r="E367" s="137"/>
      <c r="F367" s="137"/>
      <c r="G367" s="137"/>
      <c r="H367" s="137"/>
      <c r="I367" s="137"/>
      <c r="J367" s="137"/>
      <c r="K367" s="137"/>
      <c r="L367" s="137"/>
      <c r="M367" s="137"/>
      <c r="N367" s="137"/>
      <c r="O367" s="137"/>
      <c r="P367" s="137"/>
    </row>
    <row r="368" spans="3:16" x14ac:dyDescent="0.25">
      <c r="C368" s="137"/>
      <c r="D368" s="137"/>
      <c r="E368" s="137"/>
      <c r="F368" s="137"/>
      <c r="G368" s="137"/>
      <c r="H368" s="137"/>
      <c r="I368" s="137"/>
      <c r="J368" s="137"/>
      <c r="K368" s="137"/>
      <c r="L368" s="137"/>
      <c r="M368" s="137"/>
      <c r="N368" s="137"/>
      <c r="O368" s="137"/>
      <c r="P368" s="137"/>
    </row>
    <row r="369" spans="3:16" x14ac:dyDescent="0.25">
      <c r="C369" s="137"/>
      <c r="D369" s="137"/>
      <c r="E369" s="137"/>
      <c r="F369" s="137"/>
      <c r="G369" s="137"/>
      <c r="H369" s="137"/>
      <c r="I369" s="137"/>
      <c r="J369" s="137"/>
      <c r="K369" s="137"/>
      <c r="L369" s="137"/>
      <c r="M369" s="137"/>
      <c r="N369" s="137"/>
      <c r="O369" s="137"/>
      <c r="P369" s="137"/>
    </row>
    <row r="370" spans="3:16" x14ac:dyDescent="0.25">
      <c r="C370" s="137"/>
      <c r="D370" s="137"/>
      <c r="E370" s="137"/>
      <c r="F370" s="137"/>
      <c r="G370" s="137"/>
      <c r="H370" s="137"/>
      <c r="I370" s="137"/>
      <c r="J370" s="137"/>
      <c r="K370" s="137"/>
      <c r="L370" s="137"/>
      <c r="M370" s="137"/>
      <c r="N370" s="137"/>
      <c r="O370" s="137"/>
      <c r="P370" s="137"/>
    </row>
    <row r="371" spans="3:16" x14ac:dyDescent="0.25">
      <c r="C371" s="137"/>
      <c r="D371" s="137"/>
      <c r="E371" s="137"/>
      <c r="F371" s="137"/>
      <c r="G371" s="137"/>
      <c r="H371" s="137"/>
      <c r="I371" s="137"/>
      <c r="J371" s="137"/>
      <c r="K371" s="137"/>
      <c r="L371" s="137"/>
      <c r="M371" s="137"/>
      <c r="N371" s="137"/>
      <c r="O371" s="137"/>
      <c r="P371" s="137"/>
    </row>
    <row r="372" spans="3:16" x14ac:dyDescent="0.25">
      <c r="C372" s="137"/>
      <c r="D372" s="137"/>
      <c r="E372" s="137"/>
      <c r="F372" s="137"/>
      <c r="G372" s="137"/>
      <c r="H372" s="137"/>
      <c r="I372" s="137"/>
      <c r="J372" s="137"/>
      <c r="K372" s="137"/>
      <c r="L372" s="137"/>
      <c r="M372" s="137"/>
      <c r="N372" s="137"/>
      <c r="O372" s="137"/>
      <c r="P372" s="137"/>
    </row>
    <row r="373" spans="3:16" x14ac:dyDescent="0.25">
      <c r="C373" s="137"/>
      <c r="D373" s="137"/>
      <c r="E373" s="137"/>
      <c r="F373" s="137"/>
      <c r="G373" s="137"/>
      <c r="H373" s="137"/>
      <c r="I373" s="137"/>
      <c r="J373" s="137"/>
      <c r="K373" s="137"/>
      <c r="L373" s="137"/>
      <c r="M373" s="137"/>
      <c r="N373" s="137"/>
      <c r="O373" s="137"/>
      <c r="P373" s="137"/>
    </row>
    <row r="374" spans="3:16" x14ac:dyDescent="0.25">
      <c r="C374" s="137"/>
      <c r="D374" s="137"/>
      <c r="E374" s="137"/>
      <c r="F374" s="137"/>
      <c r="G374" s="137"/>
      <c r="H374" s="137"/>
      <c r="I374" s="137"/>
      <c r="J374" s="137"/>
      <c r="K374" s="137"/>
      <c r="L374" s="137"/>
      <c r="M374" s="137"/>
      <c r="N374" s="137"/>
      <c r="O374" s="137"/>
      <c r="P374" s="137"/>
    </row>
    <row r="375" spans="3:16" x14ac:dyDescent="0.25">
      <c r="C375" s="137"/>
      <c r="D375" s="137"/>
      <c r="E375" s="137"/>
      <c r="F375" s="137"/>
      <c r="G375" s="137"/>
      <c r="H375" s="137"/>
      <c r="I375" s="137"/>
      <c r="J375" s="137"/>
      <c r="K375" s="137"/>
      <c r="L375" s="137"/>
      <c r="M375" s="137"/>
      <c r="N375" s="137"/>
      <c r="O375" s="137"/>
      <c r="P375" s="137"/>
    </row>
    <row r="376" spans="3:16" x14ac:dyDescent="0.25">
      <c r="C376" s="137"/>
      <c r="D376" s="137"/>
      <c r="E376" s="137"/>
      <c r="F376" s="137"/>
      <c r="G376" s="137"/>
      <c r="H376" s="137"/>
      <c r="I376" s="137"/>
      <c r="J376" s="137"/>
      <c r="K376" s="137"/>
      <c r="L376" s="137"/>
      <c r="M376" s="137"/>
      <c r="N376" s="137"/>
      <c r="O376" s="137"/>
      <c r="P376" s="137"/>
    </row>
    <row r="377" spans="3:16" x14ac:dyDescent="0.25">
      <c r="C377" s="137"/>
      <c r="D377" s="137"/>
      <c r="E377" s="137"/>
      <c r="F377" s="137"/>
      <c r="G377" s="137"/>
      <c r="H377" s="137"/>
      <c r="I377" s="137"/>
      <c r="J377" s="137"/>
      <c r="K377" s="137"/>
      <c r="L377" s="137"/>
      <c r="M377" s="137"/>
      <c r="N377" s="137"/>
      <c r="O377" s="137"/>
      <c r="P377" s="137"/>
    </row>
    <row r="378" spans="3:16" x14ac:dyDescent="0.25">
      <c r="C378" s="137"/>
      <c r="D378" s="137"/>
      <c r="E378" s="137"/>
      <c r="F378" s="137"/>
      <c r="G378" s="137"/>
      <c r="H378" s="137"/>
      <c r="I378" s="137"/>
      <c r="J378" s="137"/>
      <c r="K378" s="137"/>
      <c r="L378" s="137"/>
      <c r="M378" s="137"/>
      <c r="N378" s="137"/>
      <c r="O378" s="137"/>
      <c r="P378" s="137"/>
    </row>
    <row r="379" spans="3:16" x14ac:dyDescent="0.25">
      <c r="C379" s="137"/>
      <c r="D379" s="137"/>
      <c r="E379" s="137"/>
      <c r="F379" s="137"/>
      <c r="G379" s="137"/>
      <c r="H379" s="137"/>
      <c r="I379" s="137"/>
      <c r="J379" s="137"/>
      <c r="K379" s="137"/>
      <c r="L379" s="137"/>
      <c r="M379" s="137"/>
      <c r="N379" s="137"/>
      <c r="O379" s="137"/>
      <c r="P379" s="137"/>
    </row>
    <row r="380" spans="3:16" x14ac:dyDescent="0.25">
      <c r="C380" s="137"/>
      <c r="D380" s="137"/>
      <c r="E380" s="137"/>
      <c r="F380" s="137"/>
      <c r="G380" s="137"/>
      <c r="H380" s="137"/>
      <c r="I380" s="137"/>
      <c r="J380" s="137"/>
      <c r="K380" s="137"/>
      <c r="L380" s="137"/>
      <c r="M380" s="137"/>
      <c r="N380" s="137"/>
      <c r="O380" s="137"/>
      <c r="P380" s="137"/>
    </row>
    <row r="381" spans="3:16" x14ac:dyDescent="0.25">
      <c r="C381" s="137"/>
      <c r="D381" s="137"/>
      <c r="E381" s="137"/>
      <c r="F381" s="137"/>
      <c r="G381" s="137"/>
      <c r="H381" s="137"/>
      <c r="I381" s="137"/>
      <c r="J381" s="137"/>
      <c r="K381" s="137"/>
      <c r="L381" s="137"/>
      <c r="M381" s="137"/>
      <c r="N381" s="137"/>
      <c r="O381" s="137"/>
      <c r="P381" s="137"/>
    </row>
    <row r="382" spans="3:16" x14ac:dyDescent="0.25">
      <c r="C382" s="137"/>
      <c r="D382" s="137"/>
      <c r="E382" s="137"/>
      <c r="F382" s="137"/>
      <c r="G382" s="137"/>
      <c r="H382" s="137"/>
      <c r="I382" s="137"/>
      <c r="J382" s="137"/>
      <c r="K382" s="137"/>
      <c r="L382" s="137"/>
      <c r="M382" s="137"/>
      <c r="N382" s="137"/>
      <c r="O382" s="137"/>
      <c r="P382" s="137"/>
    </row>
    <row r="383" spans="3:16" x14ac:dyDescent="0.25">
      <c r="C383" s="137"/>
      <c r="D383" s="137"/>
      <c r="E383" s="137"/>
      <c r="F383" s="137"/>
      <c r="G383" s="137"/>
      <c r="H383" s="137"/>
      <c r="I383" s="137"/>
      <c r="J383" s="137"/>
      <c r="K383" s="137"/>
      <c r="L383" s="137"/>
      <c r="M383" s="137"/>
      <c r="N383" s="137"/>
      <c r="O383" s="137"/>
      <c r="P383" s="137"/>
    </row>
    <row r="384" spans="3:16" x14ac:dyDescent="0.25">
      <c r="C384" s="137"/>
      <c r="D384" s="137"/>
      <c r="E384" s="137"/>
      <c r="F384" s="137"/>
      <c r="G384" s="137"/>
      <c r="H384" s="137"/>
      <c r="I384" s="137"/>
      <c r="J384" s="137"/>
      <c r="K384" s="137"/>
      <c r="L384" s="137"/>
      <c r="M384" s="137"/>
      <c r="N384" s="137"/>
      <c r="O384" s="137"/>
      <c r="P384" s="137"/>
    </row>
    <row r="385" spans="3:16" x14ac:dyDescent="0.25">
      <c r="C385" s="137"/>
      <c r="D385" s="137"/>
      <c r="E385" s="137"/>
      <c r="F385" s="137"/>
      <c r="G385" s="137"/>
      <c r="H385" s="137"/>
      <c r="I385" s="137"/>
      <c r="J385" s="137"/>
      <c r="K385" s="137"/>
      <c r="L385" s="137"/>
      <c r="M385" s="137"/>
      <c r="N385" s="137"/>
      <c r="O385" s="137"/>
      <c r="P385" s="137"/>
    </row>
    <row r="386" spans="3:16" x14ac:dyDescent="0.25">
      <c r="C386" s="137"/>
      <c r="D386" s="137"/>
      <c r="E386" s="137"/>
      <c r="F386" s="137"/>
      <c r="G386" s="137"/>
      <c r="H386" s="137"/>
      <c r="I386" s="137"/>
      <c r="J386" s="137"/>
      <c r="K386" s="137"/>
      <c r="L386" s="137"/>
      <c r="M386" s="137"/>
      <c r="N386" s="137"/>
      <c r="O386" s="137"/>
      <c r="P386" s="137"/>
    </row>
    <row r="387" spans="3:16" x14ac:dyDescent="0.25">
      <c r="C387" s="137"/>
      <c r="D387" s="137"/>
      <c r="E387" s="137"/>
      <c r="F387" s="137"/>
      <c r="G387" s="137"/>
      <c r="H387" s="137"/>
      <c r="I387" s="137"/>
      <c r="J387" s="137"/>
      <c r="K387" s="137"/>
      <c r="L387" s="137"/>
      <c r="M387" s="137"/>
      <c r="N387" s="137"/>
      <c r="O387" s="137"/>
      <c r="P387" s="137"/>
    </row>
    <row r="388" spans="3:16" x14ac:dyDescent="0.25">
      <c r="C388" s="137"/>
      <c r="D388" s="137"/>
      <c r="E388" s="137"/>
      <c r="F388" s="137"/>
      <c r="G388" s="137"/>
      <c r="H388" s="137"/>
      <c r="I388" s="137"/>
      <c r="J388" s="137"/>
      <c r="K388" s="137"/>
      <c r="L388" s="137"/>
      <c r="M388" s="137"/>
      <c r="N388" s="137"/>
      <c r="O388" s="137"/>
      <c r="P388" s="137"/>
    </row>
    <row r="389" spans="3:16" x14ac:dyDescent="0.25">
      <c r="C389" s="137"/>
      <c r="D389" s="137"/>
      <c r="E389" s="137"/>
      <c r="F389" s="137"/>
      <c r="G389" s="137"/>
      <c r="H389" s="137"/>
      <c r="I389" s="137"/>
      <c r="J389" s="137"/>
      <c r="K389" s="137"/>
      <c r="L389" s="137"/>
      <c r="M389" s="137"/>
      <c r="N389" s="137"/>
      <c r="O389" s="137"/>
      <c r="P389" s="137"/>
    </row>
    <row r="390" spans="3:16" x14ac:dyDescent="0.25">
      <c r="C390" s="137"/>
      <c r="D390" s="137"/>
      <c r="E390" s="137"/>
      <c r="F390" s="137"/>
      <c r="G390" s="137"/>
      <c r="H390" s="137"/>
      <c r="I390" s="137"/>
      <c r="J390" s="137"/>
      <c r="K390" s="137"/>
      <c r="L390" s="137"/>
      <c r="M390" s="137"/>
      <c r="N390" s="137"/>
      <c r="O390" s="137"/>
      <c r="P390" s="137"/>
    </row>
    <row r="391" spans="3:16" x14ac:dyDescent="0.25">
      <c r="C391" s="137"/>
      <c r="D391" s="137"/>
      <c r="E391" s="137"/>
      <c r="F391" s="137"/>
      <c r="G391" s="137"/>
      <c r="H391" s="137"/>
      <c r="I391" s="137"/>
      <c r="J391" s="137"/>
      <c r="K391" s="137"/>
      <c r="L391" s="137"/>
      <c r="M391" s="137"/>
      <c r="N391" s="137"/>
      <c r="O391" s="137"/>
      <c r="P391" s="137"/>
    </row>
    <row r="392" spans="3:16" x14ac:dyDescent="0.25">
      <c r="C392" s="137"/>
      <c r="D392" s="137"/>
      <c r="E392" s="137"/>
      <c r="F392" s="137"/>
      <c r="G392" s="137"/>
      <c r="H392" s="137"/>
      <c r="I392" s="137"/>
      <c r="J392" s="137"/>
      <c r="K392" s="137"/>
      <c r="L392" s="137"/>
      <c r="M392" s="137"/>
      <c r="N392" s="137"/>
      <c r="O392" s="137"/>
      <c r="P392" s="137"/>
    </row>
    <row r="393" spans="3:16" x14ac:dyDescent="0.25">
      <c r="C393" s="137"/>
      <c r="D393" s="137"/>
      <c r="E393" s="137"/>
      <c r="F393" s="137"/>
      <c r="G393" s="137"/>
      <c r="H393" s="137"/>
      <c r="I393" s="137"/>
      <c r="J393" s="137"/>
      <c r="K393" s="137"/>
      <c r="L393" s="137"/>
      <c r="M393" s="137"/>
      <c r="N393" s="137"/>
      <c r="O393" s="137"/>
      <c r="P393" s="137"/>
    </row>
    <row r="394" spans="3:16" x14ac:dyDescent="0.25">
      <c r="C394" s="137"/>
      <c r="D394" s="137"/>
      <c r="E394" s="137"/>
      <c r="F394" s="137"/>
      <c r="G394" s="137"/>
      <c r="H394" s="137"/>
      <c r="I394" s="137"/>
      <c r="J394" s="137"/>
      <c r="K394" s="137"/>
      <c r="L394" s="137"/>
      <c r="M394" s="137"/>
      <c r="N394" s="137"/>
      <c r="O394" s="137"/>
      <c r="P394" s="137"/>
    </row>
    <row r="395" spans="3:16" x14ac:dyDescent="0.25">
      <c r="C395" s="137"/>
      <c r="D395" s="137"/>
      <c r="E395" s="137"/>
      <c r="F395" s="137"/>
      <c r="G395" s="137"/>
      <c r="H395" s="137"/>
      <c r="I395" s="137"/>
      <c r="J395" s="137"/>
      <c r="K395" s="137"/>
      <c r="L395" s="137"/>
      <c r="M395" s="137"/>
      <c r="N395" s="137"/>
      <c r="O395" s="137"/>
      <c r="P395" s="137"/>
    </row>
    <row r="396" spans="3:16" x14ac:dyDescent="0.25">
      <c r="C396" s="137"/>
      <c r="D396" s="137"/>
      <c r="E396" s="137"/>
      <c r="F396" s="137"/>
      <c r="G396" s="137"/>
      <c r="H396" s="137"/>
      <c r="I396" s="137"/>
      <c r="J396" s="137"/>
      <c r="K396" s="137"/>
      <c r="L396" s="137"/>
      <c r="M396" s="137"/>
      <c r="N396" s="137"/>
      <c r="O396" s="137"/>
      <c r="P396" s="137"/>
    </row>
    <row r="397" spans="3:16" x14ac:dyDescent="0.25">
      <c r="C397" s="137"/>
      <c r="D397" s="137"/>
      <c r="E397" s="137"/>
      <c r="F397" s="137"/>
      <c r="G397" s="137"/>
      <c r="H397" s="137"/>
      <c r="I397" s="137"/>
      <c r="J397" s="137"/>
      <c r="K397" s="137"/>
      <c r="L397" s="137"/>
      <c r="M397" s="137"/>
      <c r="N397" s="137"/>
      <c r="O397" s="137"/>
      <c r="P397" s="137"/>
    </row>
    <row r="398" spans="3:16" x14ac:dyDescent="0.25">
      <c r="C398" s="137"/>
      <c r="D398" s="137"/>
      <c r="E398" s="137"/>
      <c r="F398" s="137"/>
      <c r="G398" s="137"/>
      <c r="H398" s="137"/>
      <c r="I398" s="137"/>
      <c r="J398" s="137"/>
      <c r="K398" s="137"/>
      <c r="L398" s="137"/>
      <c r="M398" s="137"/>
      <c r="N398" s="137"/>
      <c r="O398" s="137"/>
      <c r="P398" s="137"/>
    </row>
    <row r="399" spans="3:16" x14ac:dyDescent="0.25">
      <c r="C399" s="137"/>
      <c r="D399" s="137"/>
      <c r="E399" s="137"/>
      <c r="F399" s="137"/>
      <c r="G399" s="137"/>
      <c r="H399" s="137"/>
      <c r="I399" s="137"/>
      <c r="J399" s="137"/>
      <c r="K399" s="137"/>
      <c r="L399" s="137"/>
      <c r="M399" s="137"/>
      <c r="N399" s="137"/>
      <c r="O399" s="137"/>
      <c r="P399" s="137"/>
    </row>
    <row r="400" spans="3:16" x14ac:dyDescent="0.25">
      <c r="C400" s="137"/>
      <c r="D400" s="137"/>
      <c r="E400" s="137"/>
      <c r="F400" s="137"/>
      <c r="G400" s="137"/>
      <c r="H400" s="137"/>
      <c r="I400" s="137"/>
      <c r="J400" s="137"/>
      <c r="K400" s="137"/>
      <c r="L400" s="137"/>
      <c r="M400" s="137"/>
      <c r="N400" s="137"/>
      <c r="O400" s="137"/>
      <c r="P400" s="137"/>
    </row>
    <row r="401" spans="3:16" x14ac:dyDescent="0.25">
      <c r="C401" s="137"/>
      <c r="D401" s="137"/>
      <c r="E401" s="137"/>
      <c r="F401" s="137"/>
      <c r="G401" s="137"/>
      <c r="H401" s="137"/>
      <c r="I401" s="137"/>
      <c r="J401" s="137"/>
      <c r="K401" s="137"/>
      <c r="L401" s="137"/>
      <c r="M401" s="137"/>
      <c r="N401" s="137"/>
      <c r="O401" s="137"/>
      <c r="P401" s="137"/>
    </row>
    <row r="402" spans="3:16" x14ac:dyDescent="0.25">
      <c r="C402" s="137"/>
      <c r="D402" s="137"/>
      <c r="E402" s="137"/>
      <c r="F402" s="137"/>
      <c r="G402" s="137"/>
      <c r="H402" s="137"/>
      <c r="I402" s="137"/>
      <c r="J402" s="137"/>
      <c r="K402" s="137"/>
      <c r="L402" s="137"/>
      <c r="M402" s="137"/>
      <c r="N402" s="137"/>
      <c r="O402" s="137"/>
      <c r="P402" s="137"/>
    </row>
    <row r="403" spans="3:16" x14ac:dyDescent="0.25">
      <c r="C403" s="137"/>
      <c r="D403" s="137"/>
      <c r="E403" s="137"/>
      <c r="F403" s="137"/>
      <c r="G403" s="137"/>
      <c r="H403" s="137"/>
      <c r="I403" s="137"/>
      <c r="J403" s="137"/>
      <c r="K403" s="137"/>
      <c r="L403" s="137"/>
      <c r="M403" s="137"/>
      <c r="N403" s="137"/>
      <c r="O403" s="137"/>
      <c r="P403" s="137"/>
    </row>
    <row r="404" spans="3:16" x14ac:dyDescent="0.25">
      <c r="C404" s="137"/>
      <c r="D404" s="137"/>
      <c r="E404" s="137"/>
      <c r="F404" s="137"/>
      <c r="G404" s="137"/>
      <c r="H404" s="137"/>
      <c r="I404" s="137"/>
      <c r="J404" s="137"/>
      <c r="K404" s="137"/>
      <c r="L404" s="137"/>
      <c r="M404" s="137"/>
      <c r="N404" s="137"/>
      <c r="O404" s="137"/>
      <c r="P404" s="137"/>
    </row>
    <row r="405" spans="3:16" x14ac:dyDescent="0.25">
      <c r="C405" s="137"/>
      <c r="D405" s="137"/>
      <c r="E405" s="137"/>
      <c r="F405" s="137"/>
      <c r="G405" s="137"/>
      <c r="H405" s="137"/>
      <c r="I405" s="137"/>
      <c r="J405" s="137"/>
      <c r="K405" s="137"/>
      <c r="L405" s="137"/>
      <c r="M405" s="137"/>
      <c r="N405" s="137"/>
      <c r="O405" s="137"/>
      <c r="P405" s="137"/>
    </row>
    <row r="406" spans="3:16" x14ac:dyDescent="0.25">
      <c r="C406" s="137"/>
      <c r="D406" s="137"/>
      <c r="E406" s="137"/>
      <c r="F406" s="137"/>
      <c r="G406" s="137"/>
      <c r="H406" s="137"/>
      <c r="I406" s="137"/>
      <c r="J406" s="137"/>
      <c r="K406" s="137"/>
      <c r="L406" s="137"/>
      <c r="M406" s="137"/>
      <c r="N406" s="137"/>
      <c r="O406" s="137"/>
      <c r="P406" s="137"/>
    </row>
    <row r="407" spans="3:16" x14ac:dyDescent="0.25">
      <c r="C407" s="137"/>
      <c r="D407" s="137"/>
      <c r="E407" s="137"/>
      <c r="F407" s="137"/>
      <c r="G407" s="137"/>
      <c r="H407" s="137"/>
      <c r="I407" s="137"/>
      <c r="J407" s="137"/>
      <c r="K407" s="137"/>
      <c r="L407" s="137"/>
      <c r="M407" s="137"/>
      <c r="N407" s="137"/>
      <c r="O407" s="137"/>
      <c r="P407" s="137"/>
    </row>
    <row r="408" spans="3:16" x14ac:dyDescent="0.25">
      <c r="C408" s="137"/>
      <c r="D408" s="137"/>
      <c r="E408" s="137"/>
      <c r="F408" s="137"/>
      <c r="G408" s="137"/>
      <c r="H408" s="137"/>
      <c r="I408" s="137"/>
      <c r="J408" s="137"/>
      <c r="K408" s="137"/>
      <c r="L408" s="137"/>
      <c r="M408" s="137"/>
      <c r="N408" s="137"/>
      <c r="O408" s="137"/>
      <c r="P408" s="137"/>
    </row>
    <row r="409" spans="3:16" x14ac:dyDescent="0.25">
      <c r="C409" s="137"/>
      <c r="D409" s="137"/>
      <c r="E409" s="137"/>
      <c r="F409" s="137"/>
      <c r="G409" s="137"/>
      <c r="H409" s="137"/>
      <c r="I409" s="137"/>
      <c r="J409" s="137"/>
      <c r="K409" s="137"/>
      <c r="L409" s="137"/>
      <c r="M409" s="137"/>
      <c r="N409" s="137"/>
      <c r="O409" s="137"/>
      <c r="P409" s="137"/>
    </row>
    <row r="410" spans="3:16" x14ac:dyDescent="0.25">
      <c r="C410" s="137"/>
      <c r="D410" s="137"/>
      <c r="E410" s="137"/>
      <c r="F410" s="137"/>
      <c r="G410" s="137"/>
      <c r="H410" s="137"/>
      <c r="I410" s="137"/>
      <c r="J410" s="137"/>
      <c r="K410" s="137"/>
      <c r="L410" s="137"/>
      <c r="M410" s="137"/>
      <c r="N410" s="137"/>
      <c r="O410" s="137"/>
      <c r="P410" s="137"/>
    </row>
    <row r="411" spans="3:16" x14ac:dyDescent="0.25">
      <c r="C411" s="137"/>
      <c r="D411" s="137"/>
      <c r="E411" s="137"/>
      <c r="F411" s="137"/>
      <c r="G411" s="137"/>
      <c r="H411" s="137"/>
      <c r="I411" s="137"/>
      <c r="J411" s="137"/>
      <c r="K411" s="137"/>
      <c r="L411" s="137"/>
      <c r="M411" s="137"/>
      <c r="N411" s="137"/>
      <c r="O411" s="137"/>
      <c r="P411" s="137"/>
    </row>
    <row r="412" spans="3:16" x14ac:dyDescent="0.25">
      <c r="C412" s="137"/>
      <c r="D412" s="137"/>
      <c r="E412" s="137"/>
      <c r="F412" s="137"/>
      <c r="G412" s="137"/>
      <c r="H412" s="137"/>
      <c r="I412" s="137"/>
      <c r="J412" s="137"/>
      <c r="K412" s="137"/>
      <c r="L412" s="137"/>
      <c r="M412" s="137"/>
      <c r="N412" s="137"/>
      <c r="O412" s="137"/>
      <c r="P412" s="137"/>
    </row>
    <row r="413" spans="3:16" x14ac:dyDescent="0.25">
      <c r="C413" s="137"/>
      <c r="D413" s="137"/>
      <c r="E413" s="137"/>
      <c r="F413" s="137"/>
      <c r="G413" s="137"/>
      <c r="H413" s="137"/>
      <c r="I413" s="137"/>
      <c r="J413" s="137"/>
      <c r="K413" s="137"/>
      <c r="L413" s="137"/>
      <c r="M413" s="137"/>
      <c r="N413" s="137"/>
      <c r="O413" s="137"/>
      <c r="P413" s="137"/>
    </row>
    <row r="414" spans="3:16" x14ac:dyDescent="0.25">
      <c r="C414" s="137"/>
      <c r="D414" s="137"/>
      <c r="E414" s="137"/>
      <c r="F414" s="137"/>
      <c r="G414" s="137"/>
      <c r="H414" s="137"/>
      <c r="I414" s="137"/>
      <c r="J414" s="137"/>
      <c r="K414" s="137"/>
      <c r="L414" s="137"/>
      <c r="M414" s="137"/>
      <c r="N414" s="137"/>
      <c r="O414" s="137"/>
      <c r="P414" s="137"/>
    </row>
    <row r="415" spans="3:16" x14ac:dyDescent="0.25">
      <c r="C415" s="137"/>
      <c r="D415" s="137"/>
      <c r="E415" s="137"/>
      <c r="F415" s="137"/>
      <c r="G415" s="137"/>
      <c r="H415" s="137"/>
      <c r="I415" s="137"/>
      <c r="J415" s="137"/>
      <c r="K415" s="137"/>
      <c r="L415" s="137"/>
      <c r="M415" s="137"/>
      <c r="N415" s="137"/>
      <c r="O415" s="137"/>
      <c r="P415" s="137"/>
    </row>
    <row r="416" spans="3:16" x14ac:dyDescent="0.25">
      <c r="C416" s="137"/>
      <c r="D416" s="137"/>
      <c r="E416" s="137"/>
      <c r="F416" s="137"/>
      <c r="G416" s="137"/>
      <c r="H416" s="137"/>
      <c r="I416" s="137"/>
      <c r="J416" s="137"/>
      <c r="K416" s="137"/>
      <c r="L416" s="137"/>
      <c r="M416" s="137"/>
      <c r="N416" s="137"/>
      <c r="O416" s="137"/>
      <c r="P416" s="137"/>
    </row>
    <row r="417" spans="3:16" x14ac:dyDescent="0.25">
      <c r="C417" s="137"/>
      <c r="D417" s="137"/>
      <c r="E417" s="137"/>
      <c r="F417" s="137"/>
      <c r="G417" s="137"/>
      <c r="H417" s="137"/>
      <c r="I417" s="137"/>
      <c r="J417" s="137"/>
      <c r="K417" s="137"/>
      <c r="L417" s="137"/>
      <c r="M417" s="137"/>
      <c r="N417" s="137"/>
      <c r="O417" s="137"/>
      <c r="P417" s="137"/>
    </row>
    <row r="418" spans="3:16" x14ac:dyDescent="0.25">
      <c r="C418" s="137"/>
      <c r="D418" s="137"/>
      <c r="E418" s="137"/>
      <c r="F418" s="137"/>
      <c r="G418" s="137"/>
      <c r="H418" s="137"/>
      <c r="I418" s="137"/>
      <c r="J418" s="137"/>
      <c r="K418" s="137"/>
      <c r="L418" s="137"/>
      <c r="M418" s="137"/>
      <c r="N418" s="137"/>
      <c r="O418" s="137"/>
      <c r="P418" s="137"/>
    </row>
    <row r="419" spans="3:16" x14ac:dyDescent="0.25">
      <c r="C419" s="137"/>
      <c r="D419" s="137"/>
      <c r="E419" s="137"/>
      <c r="F419" s="137"/>
      <c r="G419" s="137"/>
      <c r="H419" s="137"/>
      <c r="I419" s="137"/>
      <c r="J419" s="137"/>
      <c r="K419" s="137"/>
      <c r="L419" s="137"/>
      <c r="M419" s="137"/>
      <c r="N419" s="137"/>
      <c r="O419" s="137"/>
      <c r="P419" s="137"/>
    </row>
    <row r="420" spans="3:16" x14ac:dyDescent="0.25">
      <c r="C420" s="137"/>
      <c r="D420" s="137"/>
      <c r="E420" s="137"/>
      <c r="F420" s="137"/>
      <c r="G420" s="137"/>
      <c r="H420" s="137"/>
      <c r="I420" s="137"/>
      <c r="J420" s="137"/>
      <c r="K420" s="137"/>
      <c r="L420" s="137"/>
      <c r="M420" s="137"/>
      <c r="N420" s="137"/>
      <c r="O420" s="137"/>
      <c r="P420" s="137"/>
    </row>
    <row r="421" spans="3:16" x14ac:dyDescent="0.25">
      <c r="C421" s="137"/>
      <c r="D421" s="137"/>
      <c r="E421" s="137"/>
      <c r="F421" s="137"/>
      <c r="G421" s="137"/>
      <c r="H421" s="137"/>
      <c r="I421" s="137"/>
      <c r="J421" s="137"/>
      <c r="K421" s="137"/>
      <c r="L421" s="137"/>
      <c r="M421" s="137"/>
      <c r="N421" s="137"/>
      <c r="O421" s="137"/>
      <c r="P421" s="137"/>
    </row>
    <row r="422" spans="3:16" x14ac:dyDescent="0.25">
      <c r="C422" s="137"/>
      <c r="D422" s="137"/>
      <c r="E422" s="137"/>
      <c r="F422" s="137"/>
      <c r="G422" s="137"/>
      <c r="H422" s="137"/>
      <c r="I422" s="137"/>
      <c r="J422" s="137"/>
      <c r="K422" s="137"/>
      <c r="L422" s="137"/>
      <c r="M422" s="137"/>
      <c r="N422" s="137"/>
      <c r="O422" s="137"/>
      <c r="P422" s="137"/>
    </row>
    <row r="423" spans="3:16" x14ac:dyDescent="0.25">
      <c r="C423" s="137"/>
      <c r="D423" s="137"/>
      <c r="E423" s="137"/>
      <c r="F423" s="137"/>
      <c r="G423" s="137"/>
      <c r="H423" s="137"/>
      <c r="I423" s="137"/>
      <c r="J423" s="137"/>
      <c r="K423" s="137"/>
      <c r="L423" s="137"/>
      <c r="M423" s="137"/>
      <c r="N423" s="137"/>
      <c r="O423" s="137"/>
      <c r="P423" s="137"/>
    </row>
    <row r="424" spans="3:16" x14ac:dyDescent="0.25">
      <c r="C424" s="137"/>
      <c r="D424" s="137"/>
      <c r="E424" s="137"/>
      <c r="F424" s="137"/>
      <c r="G424" s="137"/>
      <c r="H424" s="137"/>
      <c r="I424" s="137"/>
      <c r="J424" s="137"/>
      <c r="K424" s="137"/>
      <c r="L424" s="137"/>
      <c r="M424" s="137"/>
      <c r="N424" s="137"/>
      <c r="O424" s="137"/>
      <c r="P424" s="137"/>
    </row>
    <row r="425" spans="3:16" x14ac:dyDescent="0.25">
      <c r="C425" s="137"/>
      <c r="D425" s="137"/>
      <c r="E425" s="137"/>
      <c r="F425" s="137"/>
      <c r="G425" s="137"/>
      <c r="H425" s="137"/>
      <c r="I425" s="137"/>
      <c r="J425" s="137"/>
      <c r="K425" s="137"/>
      <c r="L425" s="137"/>
      <c r="M425" s="137"/>
      <c r="N425" s="137"/>
      <c r="O425" s="137"/>
      <c r="P425" s="137"/>
    </row>
    <row r="426" spans="3:16" x14ac:dyDescent="0.25">
      <c r="C426" s="137"/>
      <c r="D426" s="137"/>
      <c r="E426" s="137"/>
      <c r="F426" s="137"/>
      <c r="G426" s="137"/>
      <c r="H426" s="137"/>
      <c r="I426" s="137"/>
      <c r="J426" s="137"/>
      <c r="K426" s="137"/>
      <c r="L426" s="137"/>
      <c r="M426" s="137"/>
      <c r="N426" s="137"/>
      <c r="O426" s="137"/>
      <c r="P426" s="137"/>
    </row>
    <row r="427" spans="3:16" x14ac:dyDescent="0.25">
      <c r="C427" s="137"/>
      <c r="D427" s="137"/>
      <c r="E427" s="137"/>
      <c r="F427" s="137"/>
      <c r="G427" s="137"/>
      <c r="H427" s="137"/>
      <c r="I427" s="137"/>
      <c r="J427" s="137"/>
      <c r="K427" s="137"/>
      <c r="L427" s="137"/>
      <c r="M427" s="137"/>
      <c r="N427" s="137"/>
      <c r="O427" s="137"/>
      <c r="P427" s="137"/>
    </row>
    <row r="428" spans="3:16" x14ac:dyDescent="0.25">
      <c r="C428" s="137"/>
      <c r="D428" s="137"/>
      <c r="E428" s="137"/>
      <c r="F428" s="137"/>
      <c r="G428" s="137"/>
      <c r="H428" s="137"/>
      <c r="I428" s="137"/>
      <c r="J428" s="137"/>
      <c r="K428" s="137"/>
      <c r="L428" s="137"/>
      <c r="M428" s="137"/>
      <c r="N428" s="137"/>
      <c r="O428" s="137"/>
      <c r="P428" s="137"/>
    </row>
    <row r="429" spans="3:16" x14ac:dyDescent="0.25">
      <c r="C429" s="137"/>
      <c r="D429" s="137"/>
      <c r="E429" s="137"/>
      <c r="F429" s="137"/>
      <c r="G429" s="137"/>
      <c r="H429" s="137"/>
      <c r="I429" s="137"/>
      <c r="J429" s="137"/>
      <c r="K429" s="137"/>
      <c r="L429" s="137"/>
      <c r="M429" s="137"/>
      <c r="N429" s="137"/>
      <c r="O429" s="137"/>
      <c r="P429" s="137"/>
    </row>
    <row r="430" spans="3:16" x14ac:dyDescent="0.25">
      <c r="C430" s="137"/>
      <c r="D430" s="137"/>
      <c r="E430" s="137"/>
      <c r="F430" s="137"/>
      <c r="G430" s="137"/>
      <c r="H430" s="137"/>
      <c r="I430" s="137"/>
      <c r="J430" s="137"/>
      <c r="K430" s="137"/>
      <c r="L430" s="137"/>
      <c r="M430" s="137"/>
      <c r="N430" s="137"/>
      <c r="O430" s="137"/>
      <c r="P430" s="137"/>
    </row>
    <row r="431" spans="3:16" x14ac:dyDescent="0.25">
      <c r="C431" s="137"/>
      <c r="D431" s="137"/>
      <c r="E431" s="137"/>
      <c r="F431" s="137"/>
      <c r="G431" s="137"/>
      <c r="H431" s="137"/>
      <c r="I431" s="137"/>
      <c r="J431" s="137"/>
      <c r="K431" s="137"/>
      <c r="L431" s="137"/>
      <c r="M431" s="137"/>
      <c r="N431" s="137"/>
      <c r="O431" s="137"/>
      <c r="P431" s="137"/>
    </row>
    <row r="432" spans="3:16" x14ac:dyDescent="0.25">
      <c r="C432" s="137"/>
      <c r="D432" s="137"/>
      <c r="E432" s="137"/>
      <c r="F432" s="137"/>
      <c r="G432" s="137"/>
      <c r="H432" s="137"/>
      <c r="I432" s="137"/>
      <c r="J432" s="137"/>
      <c r="K432" s="137"/>
      <c r="L432" s="137"/>
      <c r="M432" s="137"/>
      <c r="N432" s="137"/>
      <c r="O432" s="137"/>
      <c r="P432" s="137"/>
    </row>
    <row r="433" spans="3:16" x14ac:dyDescent="0.25">
      <c r="C433" s="137"/>
      <c r="D433" s="137"/>
      <c r="E433" s="137"/>
      <c r="F433" s="137"/>
      <c r="G433" s="137"/>
      <c r="H433" s="137"/>
      <c r="I433" s="137"/>
      <c r="J433" s="137"/>
      <c r="K433" s="137"/>
      <c r="L433" s="137"/>
      <c r="M433" s="137"/>
      <c r="N433" s="137"/>
      <c r="O433" s="137"/>
      <c r="P433" s="137"/>
    </row>
    <row r="434" spans="3:16" x14ac:dyDescent="0.25">
      <c r="C434" s="137"/>
      <c r="D434" s="137"/>
      <c r="E434" s="137"/>
      <c r="F434" s="137"/>
      <c r="G434" s="137"/>
      <c r="H434" s="137"/>
      <c r="I434" s="137"/>
      <c r="J434" s="137"/>
      <c r="K434" s="137"/>
      <c r="L434" s="137"/>
      <c r="M434" s="137"/>
      <c r="N434" s="137"/>
      <c r="O434" s="137"/>
      <c r="P434" s="137"/>
    </row>
    <row r="435" spans="3:16" x14ac:dyDescent="0.25">
      <c r="C435" s="137"/>
      <c r="D435" s="137"/>
      <c r="E435" s="137"/>
      <c r="F435" s="137"/>
      <c r="G435" s="137"/>
      <c r="H435" s="137"/>
      <c r="I435" s="137"/>
      <c r="J435" s="137"/>
      <c r="K435" s="137"/>
      <c r="L435" s="137"/>
      <c r="M435" s="137"/>
      <c r="N435" s="137"/>
      <c r="O435" s="137"/>
      <c r="P435" s="137"/>
    </row>
    <row r="436" spans="3:16" x14ac:dyDescent="0.25">
      <c r="C436" s="137"/>
      <c r="D436" s="137"/>
      <c r="E436" s="137"/>
      <c r="F436" s="137"/>
      <c r="G436" s="137"/>
      <c r="H436" s="137"/>
      <c r="I436" s="137"/>
      <c r="J436" s="137"/>
      <c r="K436" s="137"/>
      <c r="L436" s="137"/>
      <c r="M436" s="137"/>
      <c r="N436" s="137"/>
      <c r="O436" s="137"/>
      <c r="P436" s="137"/>
    </row>
    <row r="437" spans="3:16" x14ac:dyDescent="0.25">
      <c r="C437" s="137"/>
      <c r="D437" s="137"/>
      <c r="E437" s="137"/>
      <c r="F437" s="137"/>
      <c r="G437" s="137"/>
      <c r="H437" s="137"/>
      <c r="I437" s="137"/>
      <c r="J437" s="137"/>
      <c r="K437" s="137"/>
      <c r="L437" s="137"/>
      <c r="M437" s="137"/>
      <c r="N437" s="137"/>
      <c r="O437" s="137"/>
      <c r="P437" s="137"/>
    </row>
    <row r="438" spans="3:16" x14ac:dyDescent="0.25">
      <c r="C438" s="137"/>
      <c r="D438" s="137"/>
      <c r="E438" s="137"/>
      <c r="F438" s="137"/>
      <c r="G438" s="137"/>
      <c r="H438" s="137"/>
      <c r="I438" s="137"/>
      <c r="J438" s="137"/>
      <c r="K438" s="137"/>
      <c r="L438" s="137"/>
      <c r="M438" s="137"/>
      <c r="N438" s="137"/>
      <c r="O438" s="137"/>
      <c r="P438" s="137"/>
    </row>
    <row r="439" spans="3:16" x14ac:dyDescent="0.25">
      <c r="C439" s="137"/>
      <c r="D439" s="137"/>
      <c r="E439" s="137"/>
      <c r="F439" s="137"/>
      <c r="G439" s="137"/>
      <c r="H439" s="137"/>
      <c r="I439" s="137"/>
      <c r="J439" s="137"/>
      <c r="K439" s="137"/>
      <c r="L439" s="137"/>
      <c r="M439" s="137"/>
      <c r="N439" s="137"/>
      <c r="O439" s="137"/>
      <c r="P439" s="137"/>
    </row>
    <row r="440" spans="3:16" x14ac:dyDescent="0.25">
      <c r="C440" s="137"/>
      <c r="D440" s="137"/>
      <c r="E440" s="137"/>
      <c r="F440" s="137"/>
      <c r="G440" s="137"/>
      <c r="H440" s="137"/>
      <c r="I440" s="137"/>
      <c r="J440" s="137"/>
      <c r="K440" s="137"/>
      <c r="L440" s="137"/>
      <c r="M440" s="137"/>
      <c r="N440" s="137"/>
      <c r="O440" s="137"/>
      <c r="P440" s="137"/>
    </row>
    <row r="441" spans="3:16" x14ac:dyDescent="0.25">
      <c r="C441" s="137"/>
      <c r="D441" s="137"/>
      <c r="E441" s="137"/>
      <c r="F441" s="137"/>
      <c r="G441" s="137"/>
      <c r="H441" s="137"/>
      <c r="I441" s="137"/>
      <c r="J441" s="137"/>
      <c r="K441" s="137"/>
      <c r="L441" s="137"/>
      <c r="M441" s="137"/>
      <c r="N441" s="137"/>
      <c r="O441" s="137"/>
      <c r="P441" s="137"/>
    </row>
    <row r="442" spans="3:16" x14ac:dyDescent="0.25">
      <c r="C442" s="137"/>
      <c r="D442" s="137"/>
      <c r="E442" s="137"/>
      <c r="F442" s="137"/>
      <c r="G442" s="137"/>
      <c r="H442" s="137"/>
      <c r="I442" s="137"/>
      <c r="J442" s="137"/>
      <c r="K442" s="137"/>
      <c r="L442" s="137"/>
      <c r="M442" s="137"/>
      <c r="N442" s="137"/>
      <c r="O442" s="137"/>
      <c r="P442" s="137"/>
    </row>
    <row r="443" spans="3:16" x14ac:dyDescent="0.25">
      <c r="C443" s="137"/>
      <c r="D443" s="137"/>
      <c r="E443" s="137"/>
      <c r="F443" s="137"/>
      <c r="G443" s="137"/>
      <c r="H443" s="137"/>
      <c r="I443" s="137"/>
      <c r="J443" s="137"/>
      <c r="K443" s="137"/>
      <c r="L443" s="137"/>
      <c r="M443" s="137"/>
      <c r="N443" s="137"/>
      <c r="O443" s="137"/>
      <c r="P443" s="137"/>
    </row>
    <row r="444" spans="3:16" x14ac:dyDescent="0.25">
      <c r="C444" s="137"/>
      <c r="D444" s="137"/>
      <c r="E444" s="137"/>
      <c r="F444" s="137"/>
      <c r="G444" s="137"/>
      <c r="H444" s="137"/>
      <c r="I444" s="137"/>
      <c r="J444" s="137"/>
      <c r="K444" s="137"/>
      <c r="L444" s="137"/>
      <c r="M444" s="137"/>
      <c r="N444" s="137"/>
      <c r="O444" s="137"/>
      <c r="P444" s="137"/>
    </row>
    <row r="445" spans="3:16" x14ac:dyDescent="0.25">
      <c r="C445" s="137"/>
      <c r="D445" s="137"/>
      <c r="E445" s="137"/>
      <c r="F445" s="137"/>
      <c r="G445" s="137"/>
      <c r="H445" s="137"/>
      <c r="I445" s="137"/>
      <c r="J445" s="137"/>
      <c r="K445" s="137"/>
      <c r="L445" s="137"/>
      <c r="M445" s="137"/>
      <c r="N445" s="137"/>
      <c r="O445" s="137"/>
      <c r="P445" s="137"/>
    </row>
    <row r="446" spans="3:16" x14ac:dyDescent="0.25">
      <c r="C446" s="137"/>
      <c r="D446" s="137"/>
      <c r="E446" s="137"/>
      <c r="F446" s="137"/>
      <c r="G446" s="137"/>
      <c r="H446" s="137"/>
      <c r="I446" s="137"/>
      <c r="J446" s="137"/>
      <c r="K446" s="137"/>
      <c r="L446" s="137"/>
      <c r="M446" s="137"/>
      <c r="N446" s="137"/>
      <c r="O446" s="137"/>
      <c r="P446" s="137"/>
    </row>
    <row r="447" spans="3:16" x14ac:dyDescent="0.25">
      <c r="C447" s="137"/>
      <c r="D447" s="137"/>
      <c r="E447" s="137"/>
      <c r="F447" s="137"/>
      <c r="G447" s="137"/>
      <c r="H447" s="137"/>
      <c r="I447" s="137"/>
      <c r="J447" s="137"/>
      <c r="K447" s="137"/>
      <c r="L447" s="137"/>
      <c r="M447" s="137"/>
      <c r="N447" s="137"/>
      <c r="O447" s="137"/>
      <c r="P447" s="137"/>
    </row>
    <row r="448" spans="3:16" x14ac:dyDescent="0.25">
      <c r="C448" s="137"/>
      <c r="D448" s="137"/>
      <c r="E448" s="137"/>
      <c r="F448" s="137"/>
      <c r="G448" s="137"/>
      <c r="H448" s="137"/>
      <c r="I448" s="137"/>
      <c r="J448" s="137"/>
      <c r="K448" s="137"/>
      <c r="L448" s="137"/>
      <c r="M448" s="137"/>
      <c r="N448" s="137"/>
      <c r="O448" s="137"/>
      <c r="P448" s="137"/>
    </row>
    <row r="449" spans="3:16" x14ac:dyDescent="0.25">
      <c r="C449" s="137"/>
      <c r="D449" s="137"/>
      <c r="E449" s="137"/>
      <c r="F449" s="137"/>
      <c r="G449" s="137"/>
      <c r="H449" s="137"/>
      <c r="I449" s="137"/>
      <c r="J449" s="137"/>
      <c r="K449" s="137"/>
      <c r="L449" s="137"/>
      <c r="M449" s="137"/>
      <c r="N449" s="137"/>
      <c r="O449" s="137"/>
      <c r="P449" s="137"/>
    </row>
    <row r="450" spans="3:16" x14ac:dyDescent="0.25">
      <c r="C450" s="137"/>
      <c r="D450" s="137"/>
      <c r="E450" s="137"/>
      <c r="F450" s="137"/>
      <c r="G450" s="137"/>
      <c r="H450" s="137"/>
      <c r="I450" s="137"/>
      <c r="J450" s="137"/>
      <c r="K450" s="137"/>
      <c r="L450" s="137"/>
      <c r="M450" s="137"/>
      <c r="N450" s="137"/>
      <c r="O450" s="137"/>
      <c r="P450" s="137"/>
    </row>
    <row r="451" spans="3:16" x14ac:dyDescent="0.25">
      <c r="C451" s="137"/>
      <c r="D451" s="137"/>
      <c r="E451" s="137"/>
      <c r="F451" s="137"/>
      <c r="G451" s="137"/>
      <c r="H451" s="137"/>
      <c r="I451" s="137"/>
      <c r="J451" s="137"/>
      <c r="K451" s="137"/>
      <c r="L451" s="137"/>
      <c r="M451" s="137"/>
      <c r="N451" s="137"/>
      <c r="O451" s="137"/>
      <c r="P451" s="137"/>
    </row>
    <row r="452" spans="3:16" x14ac:dyDescent="0.25">
      <c r="C452" s="137"/>
      <c r="D452" s="137"/>
      <c r="E452" s="137"/>
      <c r="F452" s="137"/>
      <c r="G452" s="137"/>
      <c r="H452" s="137"/>
      <c r="I452" s="137"/>
      <c r="J452" s="137"/>
      <c r="K452" s="137"/>
      <c r="L452" s="137"/>
      <c r="M452" s="137"/>
      <c r="N452" s="137"/>
      <c r="O452" s="137"/>
      <c r="P452" s="137"/>
    </row>
    <row r="453" spans="3:16" x14ac:dyDescent="0.25">
      <c r="C453" s="137"/>
      <c r="D453" s="137"/>
      <c r="E453" s="137"/>
      <c r="F453" s="137"/>
      <c r="G453" s="137"/>
      <c r="H453" s="137"/>
      <c r="I453" s="137"/>
      <c r="J453" s="137"/>
      <c r="K453" s="137"/>
      <c r="L453" s="137"/>
      <c r="M453" s="137"/>
      <c r="N453" s="137"/>
      <c r="O453" s="137"/>
      <c r="P453" s="137"/>
    </row>
    <row r="454" spans="3:16" x14ac:dyDescent="0.25">
      <c r="C454" s="137"/>
      <c r="D454" s="137"/>
      <c r="E454" s="137"/>
      <c r="F454" s="137"/>
      <c r="G454" s="137"/>
      <c r="H454" s="137"/>
      <c r="I454" s="137"/>
      <c r="J454" s="137"/>
      <c r="K454" s="137"/>
      <c r="L454" s="137"/>
      <c r="M454" s="137"/>
      <c r="N454" s="137"/>
      <c r="O454" s="137"/>
      <c r="P454" s="137"/>
    </row>
    <row r="455" spans="3:16" x14ac:dyDescent="0.25">
      <c r="C455" s="137"/>
      <c r="D455" s="137"/>
      <c r="E455" s="137"/>
      <c r="F455" s="137"/>
      <c r="G455" s="137"/>
      <c r="H455" s="137"/>
      <c r="I455" s="137"/>
      <c r="J455" s="137"/>
      <c r="K455" s="137"/>
      <c r="L455" s="137"/>
      <c r="M455" s="137"/>
      <c r="N455" s="137"/>
      <c r="O455" s="137"/>
      <c r="P455" s="137"/>
    </row>
    <row r="456" spans="3:16" x14ac:dyDescent="0.25">
      <c r="C456" s="137"/>
      <c r="D456" s="137"/>
      <c r="E456" s="137"/>
      <c r="F456" s="137"/>
      <c r="G456" s="137"/>
      <c r="H456" s="137"/>
      <c r="I456" s="137"/>
      <c r="J456" s="137"/>
      <c r="K456" s="137"/>
      <c r="L456" s="137"/>
      <c r="M456" s="137"/>
      <c r="N456" s="137"/>
      <c r="O456" s="137"/>
      <c r="P456" s="137"/>
    </row>
    <row r="457" spans="3:16" x14ac:dyDescent="0.25">
      <c r="C457" s="137"/>
      <c r="D457" s="137"/>
      <c r="E457" s="137"/>
      <c r="F457" s="137"/>
      <c r="G457" s="137"/>
      <c r="H457" s="137"/>
      <c r="I457" s="137"/>
      <c r="J457" s="137"/>
      <c r="K457" s="137"/>
      <c r="L457" s="137"/>
      <c r="M457" s="137"/>
      <c r="N457" s="137"/>
      <c r="O457" s="137"/>
      <c r="P457" s="137"/>
    </row>
    <row r="458" spans="3:16" x14ac:dyDescent="0.25">
      <c r="C458" s="137"/>
      <c r="D458" s="137"/>
      <c r="E458" s="137"/>
      <c r="F458" s="137"/>
      <c r="G458" s="137"/>
      <c r="H458" s="137"/>
      <c r="I458" s="137"/>
      <c r="J458" s="137"/>
      <c r="K458" s="137"/>
      <c r="L458" s="137"/>
      <c r="M458" s="137"/>
      <c r="N458" s="137"/>
      <c r="O458" s="137"/>
      <c r="P458" s="137"/>
    </row>
    <row r="459" spans="3:16" x14ac:dyDescent="0.25">
      <c r="C459" s="137"/>
      <c r="D459" s="137"/>
      <c r="E459" s="137"/>
      <c r="F459" s="137"/>
      <c r="G459" s="137"/>
      <c r="H459" s="137"/>
      <c r="I459" s="137"/>
      <c r="J459" s="137"/>
      <c r="K459" s="137"/>
      <c r="L459" s="137"/>
      <c r="M459" s="137"/>
      <c r="N459" s="137"/>
      <c r="O459" s="137"/>
      <c r="P459" s="137"/>
    </row>
    <row r="460" spans="3:16" x14ac:dyDescent="0.25">
      <c r="C460" s="137"/>
      <c r="D460" s="137"/>
      <c r="E460" s="137"/>
      <c r="F460" s="137"/>
      <c r="G460" s="137"/>
      <c r="H460" s="137"/>
      <c r="I460" s="137"/>
      <c r="J460" s="137"/>
      <c r="K460" s="137"/>
      <c r="L460" s="137"/>
      <c r="M460" s="137"/>
      <c r="N460" s="137"/>
      <c r="O460" s="137"/>
      <c r="P460" s="137"/>
    </row>
    <row r="461" spans="3:16" x14ac:dyDescent="0.25">
      <c r="C461" s="137"/>
      <c r="D461" s="137"/>
      <c r="E461" s="137"/>
      <c r="F461" s="137"/>
      <c r="G461" s="137"/>
      <c r="H461" s="137"/>
      <c r="I461" s="137"/>
      <c r="J461" s="137"/>
      <c r="K461" s="137"/>
      <c r="L461" s="137"/>
      <c r="M461" s="137"/>
      <c r="N461" s="137"/>
      <c r="O461" s="137"/>
      <c r="P461" s="137"/>
    </row>
    <row r="462" spans="3:16" x14ac:dyDescent="0.25">
      <c r="C462" s="137"/>
      <c r="D462" s="137"/>
      <c r="E462" s="137"/>
      <c r="F462" s="137"/>
      <c r="G462" s="137"/>
      <c r="H462" s="137"/>
      <c r="I462" s="137"/>
      <c r="J462" s="137"/>
      <c r="K462" s="137"/>
      <c r="L462" s="137"/>
      <c r="M462" s="137"/>
      <c r="N462" s="137"/>
      <c r="O462" s="137"/>
      <c r="P462" s="137"/>
    </row>
    <row r="463" spans="3:16" x14ac:dyDescent="0.25">
      <c r="C463" s="137"/>
      <c r="D463" s="137"/>
      <c r="E463" s="137"/>
      <c r="F463" s="137"/>
      <c r="G463" s="137"/>
      <c r="H463" s="137"/>
      <c r="I463" s="137"/>
      <c r="J463" s="137"/>
      <c r="K463" s="137"/>
      <c r="L463" s="137"/>
      <c r="M463" s="137"/>
      <c r="N463" s="137"/>
      <c r="O463" s="137"/>
      <c r="P463" s="137"/>
    </row>
    <row r="464" spans="3:16" x14ac:dyDescent="0.25">
      <c r="C464" s="137"/>
      <c r="D464" s="137"/>
      <c r="E464" s="137"/>
      <c r="F464" s="137"/>
      <c r="G464" s="137"/>
      <c r="H464" s="137"/>
      <c r="I464" s="137"/>
      <c r="J464" s="137"/>
      <c r="K464" s="137"/>
      <c r="L464" s="137"/>
      <c r="M464" s="137"/>
      <c r="N464" s="137"/>
      <c r="O464" s="137"/>
      <c r="P464" s="137"/>
    </row>
    <row r="465" spans="3:16" x14ac:dyDescent="0.25">
      <c r="C465" s="137"/>
      <c r="D465" s="137"/>
      <c r="E465" s="137"/>
      <c r="F465" s="137"/>
      <c r="G465" s="137"/>
      <c r="H465" s="137"/>
      <c r="I465" s="137"/>
      <c r="J465" s="137"/>
      <c r="K465" s="137"/>
      <c r="L465" s="137"/>
      <c r="M465" s="137"/>
      <c r="N465" s="137"/>
      <c r="O465" s="137"/>
      <c r="P465" s="137"/>
    </row>
    <row r="466" spans="3:16" x14ac:dyDescent="0.25">
      <c r="C466" s="137"/>
      <c r="D466" s="137"/>
      <c r="E466" s="137"/>
      <c r="F466" s="137"/>
      <c r="G466" s="137"/>
      <c r="H466" s="137"/>
      <c r="I466" s="137"/>
      <c r="J466" s="137"/>
      <c r="K466" s="137"/>
      <c r="L466" s="137"/>
      <c r="M466" s="137"/>
      <c r="N466" s="137"/>
      <c r="O466" s="137"/>
      <c r="P466" s="137"/>
    </row>
    <row r="467" spans="3:16" x14ac:dyDescent="0.25">
      <c r="C467" s="137"/>
      <c r="D467" s="137"/>
      <c r="E467" s="137"/>
      <c r="F467" s="137"/>
      <c r="G467" s="137"/>
      <c r="H467" s="137"/>
      <c r="I467" s="137"/>
      <c r="J467" s="137"/>
      <c r="K467" s="137"/>
      <c r="L467" s="137"/>
      <c r="M467" s="137"/>
      <c r="N467" s="137"/>
      <c r="O467" s="137"/>
      <c r="P467" s="137"/>
    </row>
    <row r="468" spans="3:16" x14ac:dyDescent="0.25">
      <c r="C468" s="137"/>
      <c r="D468" s="137"/>
      <c r="E468" s="137"/>
      <c r="F468" s="137"/>
      <c r="G468" s="137"/>
      <c r="H468" s="137"/>
      <c r="I468" s="137"/>
      <c r="J468" s="137"/>
      <c r="K468" s="137"/>
      <c r="L468" s="137"/>
      <c r="M468" s="137"/>
      <c r="N468" s="137"/>
      <c r="O468" s="137"/>
      <c r="P468" s="137"/>
    </row>
    <row r="469" spans="3:16" x14ac:dyDescent="0.25">
      <c r="C469" s="137"/>
      <c r="D469" s="137"/>
      <c r="E469" s="137"/>
      <c r="F469" s="137"/>
      <c r="G469" s="137"/>
      <c r="H469" s="137"/>
      <c r="I469" s="137"/>
      <c r="J469" s="137"/>
      <c r="K469" s="137"/>
      <c r="L469" s="137"/>
      <c r="M469" s="137"/>
      <c r="N469" s="137"/>
      <c r="O469" s="137"/>
      <c r="P469" s="137"/>
    </row>
    <row r="470" spans="3:16" x14ac:dyDescent="0.25">
      <c r="C470" s="137"/>
      <c r="D470" s="137"/>
      <c r="E470" s="137"/>
      <c r="F470" s="137"/>
      <c r="G470" s="137"/>
      <c r="H470" s="137"/>
      <c r="I470" s="137"/>
      <c r="J470" s="137"/>
      <c r="K470" s="137"/>
      <c r="L470" s="137"/>
      <c r="M470" s="137"/>
      <c r="N470" s="137"/>
      <c r="O470" s="137"/>
      <c r="P470" s="137"/>
    </row>
    <row r="471" spans="3:16" x14ac:dyDescent="0.25">
      <c r="C471" s="137"/>
      <c r="D471" s="137"/>
      <c r="E471" s="137"/>
      <c r="F471" s="137"/>
      <c r="G471" s="137"/>
      <c r="H471" s="137"/>
      <c r="I471" s="137"/>
      <c r="J471" s="137"/>
      <c r="K471" s="137"/>
      <c r="L471" s="137"/>
      <c r="M471" s="137"/>
      <c r="N471" s="137"/>
      <c r="O471" s="137"/>
      <c r="P471" s="137"/>
    </row>
    <row r="472" spans="3:16" x14ac:dyDescent="0.25">
      <c r="C472" s="137"/>
      <c r="D472" s="137"/>
      <c r="E472" s="137"/>
      <c r="F472" s="137"/>
      <c r="G472" s="137"/>
      <c r="H472" s="137"/>
      <c r="I472" s="137"/>
      <c r="J472" s="137"/>
      <c r="K472" s="137"/>
      <c r="L472" s="137"/>
      <c r="M472" s="137"/>
      <c r="N472" s="137"/>
      <c r="O472" s="137"/>
      <c r="P472" s="137"/>
    </row>
    <row r="473" spans="3:16" x14ac:dyDescent="0.25">
      <c r="C473" s="137"/>
      <c r="D473" s="137"/>
      <c r="E473" s="137"/>
      <c r="F473" s="137"/>
      <c r="G473" s="137"/>
      <c r="H473" s="137"/>
      <c r="I473" s="137"/>
      <c r="J473" s="137"/>
      <c r="K473" s="137"/>
      <c r="L473" s="137"/>
      <c r="M473" s="137"/>
      <c r="N473" s="137"/>
      <c r="O473" s="137"/>
      <c r="P473" s="137"/>
    </row>
    <row r="474" spans="3:16" x14ac:dyDescent="0.25">
      <c r="C474" s="137"/>
      <c r="D474" s="137"/>
      <c r="E474" s="137"/>
      <c r="F474" s="137"/>
      <c r="G474" s="137"/>
      <c r="H474" s="137"/>
      <c r="I474" s="137"/>
      <c r="J474" s="137"/>
      <c r="K474" s="137"/>
      <c r="L474" s="137"/>
      <c r="M474" s="137"/>
      <c r="N474" s="137"/>
      <c r="O474" s="137"/>
      <c r="P474" s="137"/>
    </row>
    <row r="475" spans="3:16" x14ac:dyDescent="0.25">
      <c r="C475" s="137"/>
      <c r="D475" s="137"/>
      <c r="E475" s="137"/>
      <c r="F475" s="137"/>
      <c r="G475" s="137"/>
      <c r="H475" s="137"/>
      <c r="I475" s="137"/>
      <c r="J475" s="137"/>
      <c r="K475" s="137"/>
      <c r="L475" s="137"/>
      <c r="M475" s="137"/>
      <c r="N475" s="137"/>
      <c r="O475" s="137"/>
      <c r="P475" s="137"/>
    </row>
    <row r="476" spans="3:16" x14ac:dyDescent="0.25">
      <c r="C476" s="137"/>
      <c r="D476" s="137"/>
      <c r="E476" s="137"/>
      <c r="F476" s="137"/>
      <c r="G476" s="137"/>
      <c r="H476" s="137"/>
      <c r="I476" s="137"/>
      <c r="J476" s="137"/>
      <c r="K476" s="137"/>
      <c r="L476" s="137"/>
      <c r="M476" s="137"/>
      <c r="N476" s="137"/>
      <c r="O476" s="137"/>
      <c r="P476" s="137"/>
    </row>
    <row r="477" spans="3:16" x14ac:dyDescent="0.25">
      <c r="C477" s="137"/>
      <c r="D477" s="137"/>
      <c r="E477" s="137"/>
      <c r="F477" s="137"/>
      <c r="G477" s="137"/>
      <c r="H477" s="137"/>
      <c r="I477" s="137"/>
      <c r="J477" s="137"/>
      <c r="K477" s="137"/>
      <c r="L477" s="137"/>
      <c r="M477" s="137"/>
      <c r="N477" s="137"/>
      <c r="O477" s="137"/>
      <c r="P477" s="137"/>
    </row>
    <row r="478" spans="3:16" x14ac:dyDescent="0.25">
      <c r="C478" s="137"/>
      <c r="D478" s="137"/>
      <c r="E478" s="137"/>
      <c r="F478" s="137"/>
      <c r="G478" s="137"/>
      <c r="H478" s="137"/>
      <c r="I478" s="137"/>
      <c r="J478" s="137"/>
      <c r="K478" s="137"/>
      <c r="L478" s="137"/>
      <c r="M478" s="137"/>
      <c r="N478" s="137"/>
      <c r="O478" s="137"/>
      <c r="P478" s="137"/>
    </row>
    <row r="479" spans="3:16" x14ac:dyDescent="0.25">
      <c r="C479" s="137"/>
      <c r="D479" s="137"/>
      <c r="E479" s="137"/>
      <c r="F479" s="137"/>
      <c r="G479" s="137"/>
      <c r="H479" s="137"/>
      <c r="I479" s="137"/>
      <c r="J479" s="137"/>
      <c r="K479" s="137"/>
      <c r="L479" s="137"/>
      <c r="M479" s="137"/>
      <c r="N479" s="137"/>
      <c r="O479" s="137"/>
      <c r="P479" s="137"/>
    </row>
    <row r="480" spans="3:16" x14ac:dyDescent="0.25">
      <c r="C480" s="137"/>
      <c r="D480" s="137"/>
      <c r="E480" s="137"/>
      <c r="F480" s="137"/>
      <c r="G480" s="137"/>
      <c r="H480" s="137"/>
      <c r="I480" s="137"/>
      <c r="J480" s="137"/>
      <c r="K480" s="137"/>
      <c r="L480" s="137"/>
      <c r="M480" s="137"/>
      <c r="N480" s="137"/>
      <c r="O480" s="137"/>
      <c r="P480" s="137"/>
    </row>
    <row r="481" spans="3:16" x14ac:dyDescent="0.25">
      <c r="C481" s="137"/>
      <c r="D481" s="137"/>
      <c r="E481" s="137"/>
      <c r="F481" s="137"/>
      <c r="G481" s="137"/>
      <c r="H481" s="137"/>
      <c r="I481" s="137"/>
      <c r="J481" s="137"/>
      <c r="K481" s="137"/>
      <c r="L481" s="137"/>
      <c r="M481" s="137"/>
      <c r="N481" s="137"/>
      <c r="O481" s="137"/>
      <c r="P481" s="137"/>
    </row>
    <row r="482" spans="3:16" x14ac:dyDescent="0.25">
      <c r="C482" s="137"/>
      <c r="D482" s="137"/>
      <c r="E482" s="137"/>
      <c r="F482" s="137"/>
      <c r="G482" s="137"/>
      <c r="H482" s="137"/>
      <c r="I482" s="137"/>
      <c r="J482" s="137"/>
      <c r="K482" s="137"/>
      <c r="L482" s="137"/>
      <c r="M482" s="137"/>
      <c r="N482" s="137"/>
      <c r="O482" s="137"/>
      <c r="P482" s="137"/>
    </row>
    <row r="483" spans="3:16" x14ac:dyDescent="0.25">
      <c r="C483" s="137"/>
      <c r="D483" s="137"/>
      <c r="E483" s="137"/>
      <c r="F483" s="137"/>
      <c r="G483" s="137"/>
      <c r="H483" s="137"/>
      <c r="I483" s="137"/>
      <c r="J483" s="137"/>
      <c r="K483" s="137"/>
      <c r="L483" s="137"/>
      <c r="M483" s="137"/>
      <c r="N483" s="137"/>
      <c r="O483" s="137"/>
      <c r="P483" s="137"/>
    </row>
    <row r="484" spans="3:16" x14ac:dyDescent="0.25">
      <c r="C484" s="137"/>
      <c r="D484" s="137"/>
      <c r="E484" s="137"/>
      <c r="F484" s="137"/>
      <c r="G484" s="137"/>
      <c r="H484" s="137"/>
      <c r="I484" s="137"/>
      <c r="J484" s="137"/>
      <c r="K484" s="137"/>
      <c r="L484" s="137"/>
      <c r="M484" s="137"/>
      <c r="N484" s="137"/>
      <c r="O484" s="137"/>
      <c r="P484" s="137"/>
    </row>
    <row r="485" spans="3:16" x14ac:dyDescent="0.25">
      <c r="C485" s="137"/>
      <c r="D485" s="137"/>
      <c r="E485" s="137"/>
      <c r="F485" s="137"/>
      <c r="G485" s="137"/>
      <c r="H485" s="137"/>
      <c r="I485" s="137"/>
      <c r="J485" s="137"/>
      <c r="K485" s="137"/>
      <c r="L485" s="137"/>
      <c r="M485" s="137"/>
      <c r="N485" s="137"/>
      <c r="O485" s="137"/>
      <c r="P485" s="137"/>
    </row>
    <row r="486" spans="3:16" x14ac:dyDescent="0.25">
      <c r="C486" s="137"/>
      <c r="D486" s="137"/>
      <c r="E486" s="137"/>
      <c r="F486" s="137"/>
      <c r="G486" s="137"/>
      <c r="H486" s="137"/>
      <c r="I486" s="137"/>
      <c r="J486" s="137"/>
      <c r="K486" s="137"/>
      <c r="L486" s="137"/>
      <c r="M486" s="137"/>
      <c r="N486" s="137"/>
      <c r="O486" s="137"/>
      <c r="P486" s="137"/>
    </row>
    <row r="487" spans="3:16" x14ac:dyDescent="0.25">
      <c r="C487" s="137"/>
      <c r="D487" s="137"/>
      <c r="E487" s="137"/>
      <c r="F487" s="137"/>
      <c r="G487" s="137"/>
      <c r="H487" s="137"/>
      <c r="I487" s="137"/>
      <c r="J487" s="137"/>
      <c r="K487" s="137"/>
      <c r="L487" s="137"/>
      <c r="M487" s="137"/>
      <c r="N487" s="137"/>
      <c r="O487" s="137"/>
      <c r="P487" s="137"/>
    </row>
    <row r="488" spans="3:16" x14ac:dyDescent="0.25">
      <c r="C488" s="137"/>
      <c r="D488" s="137"/>
      <c r="E488" s="137"/>
      <c r="F488" s="137"/>
      <c r="G488" s="137"/>
      <c r="H488" s="137"/>
      <c r="I488" s="137"/>
      <c r="J488" s="137"/>
      <c r="K488" s="137"/>
      <c r="L488" s="137"/>
      <c r="M488" s="137"/>
      <c r="N488" s="137"/>
      <c r="O488" s="137"/>
      <c r="P488" s="137"/>
    </row>
    <row r="489" spans="3:16" x14ac:dyDescent="0.25">
      <c r="C489" s="137"/>
      <c r="D489" s="137"/>
      <c r="E489" s="137"/>
      <c r="F489" s="137"/>
      <c r="G489" s="137"/>
      <c r="H489" s="137"/>
      <c r="I489" s="137"/>
      <c r="J489" s="137"/>
      <c r="K489" s="137"/>
      <c r="L489" s="137"/>
      <c r="M489" s="137"/>
      <c r="N489" s="137"/>
      <c r="O489" s="137"/>
      <c r="P489" s="137"/>
    </row>
    <row r="490" spans="3:16" x14ac:dyDescent="0.25">
      <c r="C490" s="137"/>
      <c r="D490" s="137"/>
      <c r="E490" s="137"/>
      <c r="F490" s="137"/>
      <c r="G490" s="137"/>
      <c r="H490" s="137"/>
      <c r="I490" s="137"/>
      <c r="J490" s="137"/>
      <c r="K490" s="137"/>
      <c r="L490" s="137"/>
      <c r="M490" s="137"/>
      <c r="N490" s="137"/>
      <c r="O490" s="137"/>
      <c r="P490" s="137"/>
    </row>
    <row r="491" spans="3:16" x14ac:dyDescent="0.25">
      <c r="C491" s="137"/>
      <c r="D491" s="137"/>
      <c r="E491" s="137"/>
      <c r="F491" s="137"/>
      <c r="G491" s="137"/>
      <c r="H491" s="137"/>
      <c r="I491" s="137"/>
      <c r="J491" s="137"/>
      <c r="K491" s="137"/>
      <c r="L491" s="137"/>
      <c r="M491" s="137"/>
      <c r="N491" s="137"/>
      <c r="O491" s="137"/>
      <c r="P491" s="137"/>
    </row>
    <row r="492" spans="3:16" x14ac:dyDescent="0.25">
      <c r="C492" s="137"/>
      <c r="D492" s="137"/>
      <c r="E492" s="137"/>
      <c r="F492" s="137"/>
      <c r="G492" s="137"/>
      <c r="H492" s="137"/>
      <c r="I492" s="137"/>
      <c r="J492" s="137"/>
      <c r="K492" s="137"/>
      <c r="L492" s="137"/>
      <c r="M492" s="137"/>
      <c r="N492" s="137"/>
      <c r="O492" s="137"/>
      <c r="P492" s="137"/>
    </row>
    <row r="493" spans="3:16" x14ac:dyDescent="0.25">
      <c r="C493" s="137"/>
      <c r="D493" s="137"/>
      <c r="E493" s="137"/>
      <c r="F493" s="137"/>
      <c r="G493" s="137"/>
      <c r="H493" s="137"/>
      <c r="I493" s="137"/>
      <c r="J493" s="137"/>
      <c r="K493" s="137"/>
      <c r="L493" s="137"/>
      <c r="M493" s="137"/>
      <c r="N493" s="137"/>
      <c r="O493" s="137"/>
      <c r="P493" s="137"/>
    </row>
    <row r="494" spans="3:16" x14ac:dyDescent="0.25">
      <c r="C494" s="137"/>
      <c r="D494" s="137"/>
      <c r="E494" s="137"/>
      <c r="F494" s="137"/>
      <c r="G494" s="137"/>
      <c r="H494" s="137"/>
      <c r="I494" s="137"/>
      <c r="J494" s="137"/>
      <c r="K494" s="137"/>
      <c r="L494" s="137"/>
      <c r="M494" s="137"/>
      <c r="N494" s="137"/>
      <c r="O494" s="137"/>
      <c r="P494" s="137"/>
    </row>
    <row r="495" spans="3:16" x14ac:dyDescent="0.25">
      <c r="C495" s="137"/>
      <c r="D495" s="137"/>
      <c r="E495" s="137"/>
      <c r="F495" s="137"/>
      <c r="G495" s="137"/>
      <c r="H495" s="137"/>
      <c r="I495" s="137"/>
      <c r="J495" s="137"/>
      <c r="K495" s="137"/>
      <c r="L495" s="137"/>
      <c r="M495" s="137"/>
      <c r="N495" s="137"/>
      <c r="O495" s="137"/>
      <c r="P495" s="137"/>
    </row>
    <row r="496" spans="3:16" x14ac:dyDescent="0.25">
      <c r="C496" s="137"/>
      <c r="D496" s="137"/>
      <c r="E496" s="137"/>
      <c r="F496" s="137"/>
      <c r="G496" s="137"/>
      <c r="H496" s="137"/>
      <c r="I496" s="137"/>
      <c r="J496" s="137"/>
      <c r="K496" s="137"/>
      <c r="L496" s="137"/>
      <c r="M496" s="137"/>
      <c r="N496" s="137"/>
      <c r="O496" s="137"/>
      <c r="P496" s="137"/>
    </row>
    <row r="497" spans="3:16" x14ac:dyDescent="0.25">
      <c r="C497" s="137"/>
      <c r="D497" s="137"/>
      <c r="E497" s="137"/>
      <c r="F497" s="137"/>
      <c r="G497" s="137"/>
      <c r="H497" s="137"/>
      <c r="I497" s="137"/>
      <c r="J497" s="137"/>
      <c r="K497" s="137"/>
      <c r="L497" s="137"/>
      <c r="M497" s="137"/>
      <c r="N497" s="137"/>
      <c r="O497" s="137"/>
      <c r="P497" s="137"/>
    </row>
    <row r="498" spans="3:16" x14ac:dyDescent="0.25">
      <c r="C498" s="137"/>
      <c r="D498" s="137"/>
      <c r="E498" s="137"/>
      <c r="F498" s="137"/>
      <c r="G498" s="137"/>
      <c r="H498" s="137"/>
      <c r="I498" s="137"/>
      <c r="J498" s="137"/>
      <c r="K498" s="137"/>
      <c r="L498" s="137"/>
      <c r="M498" s="137"/>
      <c r="N498" s="137"/>
      <c r="O498" s="137"/>
      <c r="P498" s="137"/>
    </row>
    <row r="499" spans="3:16" x14ac:dyDescent="0.25">
      <c r="C499" s="137"/>
      <c r="D499" s="137"/>
      <c r="E499" s="137"/>
      <c r="F499" s="137"/>
      <c r="G499" s="137"/>
      <c r="H499" s="137"/>
      <c r="I499" s="137"/>
      <c r="J499" s="137"/>
      <c r="K499" s="137"/>
      <c r="L499" s="137"/>
      <c r="M499" s="137"/>
      <c r="N499" s="137"/>
      <c r="O499" s="137"/>
      <c r="P499" s="137"/>
    </row>
    <row r="500" spans="3:16" x14ac:dyDescent="0.25">
      <c r="C500" s="137"/>
      <c r="D500" s="137"/>
      <c r="E500" s="137"/>
      <c r="F500" s="137"/>
      <c r="G500" s="137"/>
      <c r="H500" s="137"/>
      <c r="I500" s="137"/>
      <c r="J500" s="137"/>
      <c r="K500" s="137"/>
      <c r="L500" s="137"/>
      <c r="M500" s="137"/>
      <c r="N500" s="137"/>
      <c r="O500" s="137"/>
      <c r="P500" s="137"/>
    </row>
    <row r="501" spans="3:16" x14ac:dyDescent="0.25">
      <c r="C501" s="137"/>
      <c r="D501" s="137"/>
      <c r="E501" s="137"/>
      <c r="F501" s="137"/>
      <c r="G501" s="137"/>
      <c r="H501" s="137"/>
      <c r="I501" s="137"/>
      <c r="J501" s="137"/>
      <c r="K501" s="137"/>
      <c r="L501" s="137"/>
      <c r="M501" s="137"/>
      <c r="N501" s="137"/>
      <c r="O501" s="137"/>
      <c r="P501" s="137"/>
    </row>
    <row r="502" spans="3:16" x14ac:dyDescent="0.25">
      <c r="C502" s="137"/>
      <c r="D502" s="137"/>
      <c r="E502" s="137"/>
      <c r="F502" s="137"/>
      <c r="G502" s="137"/>
      <c r="H502" s="137"/>
      <c r="I502" s="137"/>
      <c r="J502" s="137"/>
      <c r="K502" s="137"/>
      <c r="L502" s="137"/>
      <c r="M502" s="137"/>
      <c r="N502" s="137"/>
      <c r="O502" s="137"/>
      <c r="P502" s="137"/>
    </row>
    <row r="503" spans="3:16" x14ac:dyDescent="0.25">
      <c r="C503" s="137"/>
      <c r="D503" s="137"/>
      <c r="E503" s="137"/>
      <c r="F503" s="137"/>
      <c r="G503" s="137"/>
      <c r="H503" s="137"/>
      <c r="I503" s="137"/>
      <c r="J503" s="137"/>
      <c r="K503" s="137"/>
      <c r="L503" s="137"/>
      <c r="M503" s="137"/>
      <c r="N503" s="137"/>
      <c r="O503" s="137"/>
      <c r="P503" s="137"/>
    </row>
    <row r="504" spans="3:16" x14ac:dyDescent="0.25">
      <c r="C504" s="137"/>
      <c r="D504" s="137"/>
      <c r="E504" s="137"/>
      <c r="F504" s="137"/>
      <c r="G504" s="137"/>
      <c r="H504" s="137"/>
      <c r="I504" s="137"/>
      <c r="J504" s="137"/>
      <c r="K504" s="137"/>
      <c r="L504" s="137"/>
      <c r="M504" s="137"/>
      <c r="N504" s="137"/>
      <c r="O504" s="137"/>
      <c r="P504" s="137"/>
    </row>
    <row r="505" spans="3:16" x14ac:dyDescent="0.25">
      <c r="C505" s="137"/>
      <c r="D505" s="137"/>
      <c r="E505" s="137"/>
      <c r="F505" s="137"/>
      <c r="G505" s="137"/>
      <c r="H505" s="137"/>
      <c r="I505" s="137"/>
      <c r="J505" s="137"/>
      <c r="K505" s="137"/>
      <c r="L505" s="137"/>
      <c r="M505" s="137"/>
      <c r="N505" s="137"/>
      <c r="O505" s="137"/>
      <c r="P505" s="137"/>
    </row>
    <row r="506" spans="3:16" x14ac:dyDescent="0.25">
      <c r="C506" s="137"/>
      <c r="D506" s="137"/>
      <c r="E506" s="137"/>
      <c r="F506" s="137"/>
      <c r="G506" s="137"/>
      <c r="H506" s="137"/>
      <c r="I506" s="137"/>
      <c r="J506" s="137"/>
      <c r="K506" s="137"/>
      <c r="L506" s="137"/>
      <c r="M506" s="137"/>
      <c r="N506" s="137"/>
      <c r="O506" s="137"/>
      <c r="P506" s="137"/>
    </row>
    <row r="507" spans="3:16" x14ac:dyDescent="0.25">
      <c r="C507" s="137"/>
      <c r="D507" s="137"/>
      <c r="E507" s="137"/>
      <c r="F507" s="137"/>
      <c r="G507" s="137"/>
      <c r="H507" s="137"/>
      <c r="I507" s="137"/>
      <c r="J507" s="137"/>
      <c r="K507" s="137"/>
      <c r="L507" s="137"/>
      <c r="M507" s="137"/>
      <c r="N507" s="137"/>
      <c r="O507" s="137"/>
      <c r="P507" s="137"/>
    </row>
    <row r="508" spans="3:16" x14ac:dyDescent="0.25">
      <c r="C508" s="137"/>
      <c r="D508" s="137"/>
      <c r="E508" s="137"/>
      <c r="F508" s="137"/>
      <c r="G508" s="137"/>
      <c r="H508" s="137"/>
      <c r="I508" s="137"/>
      <c r="J508" s="137"/>
      <c r="K508" s="137"/>
      <c r="L508" s="137"/>
      <c r="M508" s="137"/>
      <c r="N508" s="137"/>
      <c r="O508" s="137"/>
      <c r="P508" s="137"/>
    </row>
    <row r="509" spans="3:16" x14ac:dyDescent="0.25">
      <c r="C509" s="137"/>
      <c r="D509" s="137"/>
      <c r="E509" s="137"/>
      <c r="F509" s="137"/>
      <c r="G509" s="137"/>
      <c r="H509" s="137"/>
      <c r="I509" s="137"/>
      <c r="J509" s="137"/>
      <c r="K509" s="137"/>
      <c r="L509" s="137"/>
      <c r="M509" s="137"/>
      <c r="N509" s="137"/>
      <c r="O509" s="137"/>
      <c r="P509" s="137"/>
    </row>
    <row r="510" spans="3:16" x14ac:dyDescent="0.25">
      <c r="C510" s="137"/>
      <c r="D510" s="137"/>
      <c r="E510" s="137"/>
      <c r="F510" s="137"/>
      <c r="G510" s="137"/>
      <c r="H510" s="137"/>
      <c r="I510" s="137"/>
      <c r="J510" s="137"/>
      <c r="K510" s="137"/>
      <c r="L510" s="137"/>
      <c r="M510" s="137"/>
      <c r="N510" s="137"/>
      <c r="O510" s="137"/>
      <c r="P510" s="137"/>
    </row>
    <row r="511" spans="3:16" x14ac:dyDescent="0.25">
      <c r="C511" s="137"/>
      <c r="D511" s="137"/>
      <c r="E511" s="137"/>
      <c r="F511" s="137"/>
      <c r="G511" s="137"/>
      <c r="H511" s="137"/>
      <c r="I511" s="137"/>
      <c r="J511" s="137"/>
      <c r="K511" s="137"/>
      <c r="L511" s="137"/>
      <c r="M511" s="137"/>
      <c r="N511" s="137"/>
      <c r="O511" s="137"/>
      <c r="P511" s="137"/>
    </row>
    <row r="512" spans="3:16" x14ac:dyDescent="0.25">
      <c r="C512" s="137"/>
      <c r="D512" s="137"/>
      <c r="E512" s="137"/>
      <c r="F512" s="137"/>
      <c r="G512" s="137"/>
      <c r="H512" s="137"/>
      <c r="I512" s="137"/>
      <c r="J512" s="137"/>
      <c r="K512" s="137"/>
      <c r="L512" s="137"/>
      <c r="M512" s="137"/>
      <c r="N512" s="137"/>
      <c r="O512" s="137"/>
      <c r="P512" s="137"/>
    </row>
    <row r="513" spans="3:16" x14ac:dyDescent="0.25">
      <c r="C513" s="137"/>
      <c r="D513" s="137"/>
      <c r="E513" s="137"/>
      <c r="F513" s="137"/>
      <c r="G513" s="137"/>
      <c r="H513" s="137"/>
      <c r="I513" s="137"/>
      <c r="J513" s="137"/>
      <c r="K513" s="137"/>
      <c r="L513" s="137"/>
      <c r="M513" s="137"/>
      <c r="N513" s="137"/>
      <c r="O513" s="137"/>
      <c r="P513" s="137"/>
    </row>
    <row r="514" spans="3:16" x14ac:dyDescent="0.25">
      <c r="C514" s="137"/>
      <c r="D514" s="137"/>
      <c r="E514" s="137"/>
      <c r="F514" s="137"/>
      <c r="G514" s="137"/>
      <c r="H514" s="137"/>
      <c r="I514" s="137"/>
      <c r="J514" s="137"/>
      <c r="K514" s="137"/>
      <c r="L514" s="137"/>
      <c r="M514" s="137"/>
      <c r="N514" s="137"/>
      <c r="O514" s="137"/>
      <c r="P514" s="137"/>
    </row>
    <row r="515" spans="3:16" x14ac:dyDescent="0.25">
      <c r="C515" s="137"/>
      <c r="D515" s="137"/>
      <c r="E515" s="137"/>
      <c r="F515" s="137"/>
      <c r="G515" s="137"/>
      <c r="H515" s="137"/>
      <c r="I515" s="137"/>
      <c r="J515" s="137"/>
      <c r="K515" s="137"/>
      <c r="L515" s="137"/>
      <c r="M515" s="137"/>
      <c r="N515" s="137"/>
      <c r="O515" s="137"/>
      <c r="P515" s="137"/>
    </row>
    <row r="516" spans="3:16" x14ac:dyDescent="0.25">
      <c r="C516" s="137"/>
      <c r="D516" s="137"/>
      <c r="E516" s="137"/>
      <c r="F516" s="137"/>
      <c r="G516" s="137"/>
      <c r="H516" s="137"/>
      <c r="I516" s="137"/>
      <c r="J516" s="137"/>
      <c r="K516" s="137"/>
      <c r="L516" s="137"/>
      <c r="M516" s="137"/>
      <c r="N516" s="137"/>
      <c r="O516" s="137"/>
      <c r="P516" s="137"/>
    </row>
    <row r="517" spans="3:16" x14ac:dyDescent="0.25">
      <c r="C517" s="137"/>
      <c r="D517" s="137"/>
      <c r="E517" s="137"/>
      <c r="F517" s="137"/>
      <c r="G517" s="137"/>
      <c r="H517" s="137"/>
      <c r="I517" s="137"/>
      <c r="J517" s="137"/>
      <c r="K517" s="137"/>
      <c r="L517" s="137"/>
      <c r="M517" s="137"/>
      <c r="N517" s="137"/>
      <c r="O517" s="137"/>
      <c r="P517" s="137"/>
    </row>
    <row r="518" spans="3:16" x14ac:dyDescent="0.25">
      <c r="C518" s="137"/>
      <c r="D518" s="137"/>
      <c r="E518" s="137"/>
      <c r="F518" s="137"/>
      <c r="G518" s="137"/>
      <c r="H518" s="137"/>
      <c r="I518" s="137"/>
      <c r="J518" s="137"/>
      <c r="K518" s="137"/>
      <c r="L518" s="137"/>
      <c r="M518" s="137"/>
      <c r="N518" s="137"/>
      <c r="O518" s="137"/>
      <c r="P518" s="137"/>
    </row>
    <row r="519" spans="3:16" x14ac:dyDescent="0.25">
      <c r="C519" s="137"/>
      <c r="D519" s="137"/>
      <c r="E519" s="137"/>
      <c r="F519" s="137"/>
      <c r="G519" s="137"/>
      <c r="H519" s="137"/>
      <c r="I519" s="137"/>
      <c r="J519" s="137"/>
      <c r="K519" s="137"/>
      <c r="L519" s="137"/>
      <c r="M519" s="137"/>
      <c r="N519" s="137"/>
      <c r="O519" s="137"/>
      <c r="P519" s="137"/>
    </row>
    <row r="520" spans="3:16" x14ac:dyDescent="0.25">
      <c r="C520" s="137"/>
      <c r="D520" s="137"/>
      <c r="E520" s="137"/>
      <c r="F520" s="137"/>
      <c r="G520" s="137"/>
      <c r="H520" s="137"/>
      <c r="I520" s="137"/>
      <c r="J520" s="137"/>
      <c r="K520" s="137"/>
      <c r="L520" s="137"/>
      <c r="M520" s="137"/>
      <c r="N520" s="137"/>
      <c r="O520" s="137"/>
      <c r="P520" s="137"/>
    </row>
    <row r="521" spans="3:16" x14ac:dyDescent="0.25">
      <c r="C521" s="137"/>
      <c r="D521" s="137"/>
      <c r="E521" s="137"/>
      <c r="F521" s="137"/>
      <c r="G521" s="137"/>
      <c r="H521" s="137"/>
      <c r="I521" s="137"/>
      <c r="J521" s="137"/>
      <c r="K521" s="137"/>
      <c r="L521" s="137"/>
      <c r="M521" s="137"/>
      <c r="N521" s="137"/>
      <c r="O521" s="137"/>
      <c r="P521" s="137"/>
    </row>
    <row r="522" spans="3:16" x14ac:dyDescent="0.25">
      <c r="C522" s="137"/>
      <c r="D522" s="137"/>
      <c r="E522" s="137"/>
      <c r="F522" s="137"/>
      <c r="G522" s="137"/>
      <c r="H522" s="137"/>
      <c r="I522" s="137"/>
      <c r="J522" s="137"/>
      <c r="K522" s="137"/>
      <c r="L522" s="137"/>
      <c r="M522" s="137"/>
      <c r="N522" s="137"/>
      <c r="O522" s="137"/>
      <c r="P522" s="137"/>
    </row>
    <row r="523" spans="3:16" x14ac:dyDescent="0.25">
      <c r="C523" s="137"/>
      <c r="D523" s="137"/>
      <c r="E523" s="137"/>
      <c r="F523" s="137"/>
      <c r="G523" s="137"/>
      <c r="H523" s="137"/>
      <c r="I523" s="137"/>
      <c r="J523" s="137"/>
      <c r="K523" s="137"/>
      <c r="L523" s="137"/>
      <c r="M523" s="137"/>
      <c r="N523" s="137"/>
      <c r="O523" s="137"/>
      <c r="P523" s="137"/>
    </row>
    <row r="524" spans="3:16" x14ac:dyDescent="0.25">
      <c r="C524" s="137"/>
      <c r="D524" s="137"/>
      <c r="E524" s="137"/>
      <c r="F524" s="137"/>
      <c r="G524" s="137"/>
      <c r="H524" s="137"/>
      <c r="I524" s="137"/>
      <c r="J524" s="137"/>
      <c r="K524" s="137"/>
      <c r="L524" s="137"/>
      <c r="M524" s="137"/>
      <c r="N524" s="137"/>
      <c r="O524" s="137"/>
      <c r="P524" s="137"/>
    </row>
    <row r="525" spans="3:16" x14ac:dyDescent="0.25">
      <c r="C525" s="137"/>
      <c r="D525" s="137"/>
      <c r="E525" s="137"/>
      <c r="F525" s="137"/>
      <c r="G525" s="137"/>
      <c r="H525" s="137"/>
      <c r="I525" s="137"/>
      <c r="J525" s="137"/>
      <c r="K525" s="137"/>
      <c r="L525" s="137"/>
      <c r="M525" s="137"/>
      <c r="N525" s="137"/>
      <c r="O525" s="137"/>
      <c r="P525" s="137"/>
    </row>
    <row r="526" spans="3:16" x14ac:dyDescent="0.25">
      <c r="C526" s="137"/>
      <c r="D526" s="137"/>
      <c r="E526" s="137"/>
      <c r="F526" s="137"/>
      <c r="G526" s="137"/>
      <c r="H526" s="137"/>
      <c r="I526" s="137"/>
      <c r="J526" s="137"/>
      <c r="K526" s="137"/>
      <c r="L526" s="137"/>
      <c r="M526" s="137"/>
      <c r="N526" s="137"/>
      <c r="O526" s="137"/>
      <c r="P526" s="137"/>
    </row>
    <row r="527" spans="3:16" x14ac:dyDescent="0.25">
      <c r="C527" s="137"/>
      <c r="D527" s="137"/>
      <c r="E527" s="137"/>
      <c r="F527" s="137"/>
      <c r="G527" s="137"/>
      <c r="H527" s="137"/>
      <c r="I527" s="137"/>
      <c r="J527" s="137"/>
      <c r="K527" s="137"/>
      <c r="L527" s="137"/>
      <c r="M527" s="137"/>
      <c r="N527" s="137"/>
      <c r="O527" s="137"/>
      <c r="P527" s="137"/>
    </row>
    <row r="528" spans="3:16" x14ac:dyDescent="0.25">
      <c r="C528" s="137"/>
      <c r="D528" s="137"/>
      <c r="E528" s="137"/>
      <c r="F528" s="137"/>
      <c r="G528" s="137"/>
      <c r="H528" s="137"/>
      <c r="I528" s="137"/>
      <c r="J528" s="137"/>
      <c r="K528" s="137"/>
      <c r="L528" s="137"/>
      <c r="M528" s="137"/>
      <c r="N528" s="137"/>
      <c r="O528" s="137"/>
      <c r="P528" s="137"/>
    </row>
    <row r="529" spans="3:16" x14ac:dyDescent="0.25">
      <c r="C529" s="137"/>
      <c r="D529" s="137"/>
      <c r="E529" s="137"/>
      <c r="F529" s="137"/>
      <c r="G529" s="137"/>
      <c r="H529" s="137"/>
      <c r="I529" s="137"/>
      <c r="J529" s="137"/>
      <c r="K529" s="137"/>
      <c r="L529" s="137"/>
      <c r="M529" s="137"/>
      <c r="N529" s="137"/>
      <c r="O529" s="137"/>
      <c r="P529" s="137"/>
    </row>
    <row r="530" spans="3:16" x14ac:dyDescent="0.25">
      <c r="C530" s="137"/>
      <c r="D530" s="137"/>
      <c r="E530" s="137"/>
      <c r="F530" s="137"/>
      <c r="G530" s="137"/>
      <c r="H530" s="137"/>
      <c r="I530" s="137"/>
      <c r="J530" s="137"/>
      <c r="K530" s="137"/>
      <c r="L530" s="137"/>
      <c r="M530" s="137"/>
      <c r="N530" s="137"/>
      <c r="O530" s="137"/>
      <c r="P530" s="137"/>
    </row>
    <row r="531" spans="3:16" x14ac:dyDescent="0.25">
      <c r="C531" s="137"/>
      <c r="D531" s="137"/>
      <c r="E531" s="137"/>
      <c r="F531" s="137"/>
      <c r="G531" s="137"/>
      <c r="H531" s="137"/>
      <c r="I531" s="137"/>
      <c r="J531" s="137"/>
      <c r="K531" s="137"/>
      <c r="L531" s="137"/>
      <c r="M531" s="137"/>
      <c r="N531" s="137"/>
      <c r="O531" s="137"/>
      <c r="P531" s="137"/>
    </row>
    <row r="532" spans="3:16" x14ac:dyDescent="0.25">
      <c r="C532" s="137"/>
      <c r="D532" s="137"/>
      <c r="E532" s="137"/>
      <c r="F532" s="137"/>
      <c r="G532" s="137"/>
      <c r="H532" s="137"/>
      <c r="I532" s="137"/>
      <c r="J532" s="137"/>
      <c r="K532" s="137"/>
      <c r="L532" s="137"/>
      <c r="M532" s="137"/>
      <c r="N532" s="137"/>
      <c r="O532" s="137"/>
      <c r="P532" s="137"/>
    </row>
    <row r="533" spans="3:16" x14ac:dyDescent="0.25">
      <c r="C533" s="137"/>
      <c r="D533" s="137"/>
      <c r="E533" s="137"/>
      <c r="F533" s="137"/>
      <c r="G533" s="137"/>
      <c r="H533" s="137"/>
      <c r="I533" s="137"/>
      <c r="J533" s="137"/>
      <c r="K533" s="137"/>
      <c r="L533" s="137"/>
      <c r="M533" s="137"/>
      <c r="N533" s="137"/>
      <c r="O533" s="137"/>
      <c r="P533" s="137"/>
    </row>
    <row r="534" spans="3:16" x14ac:dyDescent="0.25">
      <c r="C534" s="137"/>
      <c r="D534" s="137"/>
      <c r="E534" s="137"/>
      <c r="F534" s="137"/>
      <c r="G534" s="137"/>
      <c r="H534" s="137"/>
      <c r="I534" s="137"/>
      <c r="J534" s="137"/>
      <c r="K534" s="137"/>
      <c r="L534" s="137"/>
      <c r="M534" s="137"/>
      <c r="N534" s="137"/>
      <c r="O534" s="137"/>
      <c r="P534" s="137"/>
    </row>
    <row r="535" spans="3:16" x14ac:dyDescent="0.25">
      <c r="C535" s="137"/>
      <c r="D535" s="137"/>
      <c r="E535" s="137"/>
      <c r="F535" s="137"/>
      <c r="G535" s="137"/>
      <c r="H535" s="137"/>
      <c r="I535" s="137"/>
      <c r="J535" s="137"/>
      <c r="K535" s="137"/>
      <c r="L535" s="137"/>
      <c r="M535" s="137"/>
      <c r="N535" s="137"/>
      <c r="O535" s="137"/>
      <c r="P535" s="137"/>
    </row>
    <row r="536" spans="3:16" x14ac:dyDescent="0.25">
      <c r="C536" s="137"/>
      <c r="D536" s="137"/>
      <c r="E536" s="137"/>
      <c r="F536" s="137"/>
      <c r="G536" s="137"/>
      <c r="H536" s="137"/>
      <c r="I536" s="137"/>
      <c r="J536" s="137"/>
      <c r="K536" s="137"/>
      <c r="L536" s="137"/>
      <c r="M536" s="137"/>
      <c r="N536" s="137"/>
      <c r="O536" s="137"/>
      <c r="P536" s="137"/>
    </row>
    <row r="537" spans="3:16" x14ac:dyDescent="0.25">
      <c r="C537" s="137"/>
      <c r="D537" s="137"/>
      <c r="E537" s="137"/>
      <c r="F537" s="137"/>
      <c r="G537" s="137"/>
      <c r="H537" s="137"/>
      <c r="I537" s="137"/>
      <c r="J537" s="137"/>
      <c r="K537" s="137"/>
      <c r="L537" s="137"/>
      <c r="M537" s="137"/>
      <c r="N537" s="137"/>
      <c r="O537" s="137"/>
      <c r="P537" s="137"/>
    </row>
    <row r="538" spans="3:16" x14ac:dyDescent="0.25">
      <c r="C538" s="137"/>
      <c r="D538" s="137"/>
      <c r="E538" s="137"/>
      <c r="F538" s="137"/>
      <c r="G538" s="137"/>
      <c r="H538" s="137"/>
      <c r="I538" s="137"/>
      <c r="J538" s="137"/>
      <c r="K538" s="137"/>
      <c r="L538" s="137"/>
      <c r="M538" s="137"/>
      <c r="N538" s="137"/>
      <c r="O538" s="137"/>
      <c r="P538" s="137"/>
    </row>
    <row r="539" spans="3:16" x14ac:dyDescent="0.25">
      <c r="C539" s="137"/>
      <c r="D539" s="137"/>
      <c r="E539" s="137"/>
      <c r="F539" s="137"/>
      <c r="G539" s="137"/>
      <c r="H539" s="137"/>
      <c r="I539" s="137"/>
      <c r="J539" s="137"/>
      <c r="K539" s="137"/>
      <c r="L539" s="137"/>
      <c r="M539" s="137"/>
      <c r="N539" s="137"/>
      <c r="O539" s="137"/>
      <c r="P539" s="137"/>
    </row>
    <row r="540" spans="3:16" x14ac:dyDescent="0.25">
      <c r="C540" s="137"/>
      <c r="D540" s="137"/>
      <c r="E540" s="137"/>
      <c r="F540" s="137"/>
      <c r="G540" s="137"/>
      <c r="H540" s="137"/>
      <c r="I540" s="137"/>
      <c r="J540" s="137"/>
      <c r="K540" s="137"/>
      <c r="L540" s="137"/>
      <c r="M540" s="137"/>
      <c r="N540" s="137"/>
      <c r="O540" s="137"/>
      <c r="P540" s="137"/>
    </row>
    <row r="541" spans="3:16" x14ac:dyDescent="0.25">
      <c r="C541" s="137"/>
      <c r="D541" s="137"/>
      <c r="E541" s="137"/>
      <c r="F541" s="137"/>
      <c r="G541" s="137"/>
      <c r="H541" s="137"/>
      <c r="I541" s="137"/>
      <c r="J541" s="137"/>
      <c r="K541" s="137"/>
      <c r="L541" s="137"/>
      <c r="M541" s="137"/>
      <c r="N541" s="137"/>
      <c r="O541" s="137"/>
      <c r="P541" s="137"/>
    </row>
    <row r="542" spans="3:16" x14ac:dyDescent="0.25">
      <c r="C542" s="137"/>
      <c r="D542" s="137"/>
      <c r="E542" s="137"/>
      <c r="F542" s="137"/>
      <c r="G542" s="137"/>
      <c r="H542" s="137"/>
      <c r="I542" s="137"/>
      <c r="J542" s="137"/>
      <c r="K542" s="137"/>
      <c r="L542" s="137"/>
      <c r="M542" s="137"/>
      <c r="N542" s="137"/>
      <c r="O542" s="137"/>
      <c r="P542" s="137"/>
    </row>
    <row r="543" spans="3:16" x14ac:dyDescent="0.25">
      <c r="C543" s="137"/>
      <c r="D543" s="137"/>
      <c r="E543" s="137"/>
      <c r="F543" s="137"/>
      <c r="G543" s="137"/>
      <c r="H543" s="137"/>
      <c r="I543" s="137"/>
      <c r="J543" s="137"/>
      <c r="K543" s="137"/>
      <c r="L543" s="137"/>
      <c r="M543" s="137"/>
      <c r="N543" s="137"/>
      <c r="O543" s="137"/>
      <c r="P543" s="137"/>
    </row>
    <row r="544" spans="3:16" x14ac:dyDescent="0.25">
      <c r="C544" s="137"/>
      <c r="D544" s="137"/>
      <c r="E544" s="137"/>
      <c r="F544" s="137"/>
      <c r="G544" s="137"/>
      <c r="H544" s="137"/>
      <c r="I544" s="137"/>
      <c r="J544" s="137"/>
      <c r="K544" s="137"/>
      <c r="L544" s="137"/>
      <c r="M544" s="137"/>
      <c r="N544" s="137"/>
      <c r="O544" s="137"/>
      <c r="P544" s="137"/>
    </row>
    <row r="545" spans="3:16" x14ac:dyDescent="0.25">
      <c r="C545" s="137"/>
      <c r="D545" s="137"/>
      <c r="E545" s="137"/>
      <c r="F545" s="137"/>
      <c r="G545" s="137"/>
      <c r="H545" s="137"/>
      <c r="I545" s="137"/>
      <c r="J545" s="137"/>
      <c r="K545" s="137"/>
      <c r="L545" s="137"/>
      <c r="M545" s="137"/>
      <c r="N545" s="137"/>
      <c r="O545" s="137"/>
      <c r="P545" s="137"/>
    </row>
    <row r="546" spans="3:16" x14ac:dyDescent="0.25">
      <c r="C546" s="137"/>
      <c r="D546" s="137"/>
      <c r="E546" s="137"/>
      <c r="F546" s="137"/>
      <c r="G546" s="137"/>
      <c r="H546" s="137"/>
      <c r="I546" s="137"/>
      <c r="J546" s="137"/>
      <c r="K546" s="137"/>
      <c r="L546" s="137"/>
      <c r="M546" s="137"/>
      <c r="N546" s="137"/>
      <c r="O546" s="137"/>
      <c r="P546" s="137"/>
    </row>
    <row r="547" spans="3:16" x14ac:dyDescent="0.25">
      <c r="C547" s="137"/>
      <c r="D547" s="137"/>
      <c r="E547" s="137"/>
      <c r="F547" s="137"/>
      <c r="G547" s="137"/>
      <c r="H547" s="137"/>
      <c r="I547" s="137"/>
      <c r="J547" s="137"/>
      <c r="K547" s="137"/>
      <c r="L547" s="137"/>
      <c r="M547" s="137"/>
      <c r="N547" s="137"/>
      <c r="O547" s="137"/>
      <c r="P547" s="137"/>
    </row>
    <row r="548" spans="3:16" x14ac:dyDescent="0.25">
      <c r="C548" s="137"/>
      <c r="D548" s="137"/>
      <c r="E548" s="137"/>
      <c r="F548" s="137"/>
      <c r="G548" s="137"/>
      <c r="H548" s="137"/>
      <c r="I548" s="137"/>
      <c r="J548" s="137"/>
      <c r="K548" s="137"/>
      <c r="L548" s="137"/>
      <c r="M548" s="137"/>
      <c r="N548" s="137"/>
      <c r="O548" s="137"/>
      <c r="P548" s="137"/>
    </row>
    <row r="549" spans="3:16" x14ac:dyDescent="0.25">
      <c r="C549" s="137"/>
      <c r="D549" s="137"/>
      <c r="E549" s="137"/>
      <c r="F549" s="137"/>
      <c r="G549" s="137"/>
      <c r="H549" s="137"/>
      <c r="I549" s="137"/>
      <c r="J549" s="137"/>
      <c r="K549" s="137"/>
      <c r="L549" s="137"/>
      <c r="M549" s="137"/>
      <c r="N549" s="137"/>
      <c r="O549" s="137"/>
      <c r="P549" s="137"/>
    </row>
    <row r="550" spans="3:16" x14ac:dyDescent="0.25">
      <c r="C550" s="137"/>
      <c r="D550" s="137"/>
      <c r="E550" s="137"/>
      <c r="F550" s="137"/>
      <c r="G550" s="137"/>
      <c r="H550" s="137"/>
      <c r="I550" s="137"/>
      <c r="J550" s="137"/>
      <c r="K550" s="137"/>
      <c r="L550" s="137"/>
      <c r="M550" s="137"/>
      <c r="N550" s="137"/>
      <c r="O550" s="137"/>
      <c r="P550" s="137"/>
    </row>
    <row r="551" spans="3:16" x14ac:dyDescent="0.25">
      <c r="C551" s="137"/>
      <c r="D551" s="137"/>
      <c r="E551" s="137"/>
      <c r="F551" s="137"/>
      <c r="G551" s="137"/>
      <c r="H551" s="137"/>
      <c r="I551" s="137"/>
      <c r="J551" s="137"/>
      <c r="K551" s="137"/>
      <c r="L551" s="137"/>
      <c r="M551" s="137"/>
      <c r="N551" s="137"/>
      <c r="O551" s="137"/>
      <c r="P551" s="137"/>
    </row>
    <row r="552" spans="3:16" x14ac:dyDescent="0.25">
      <c r="C552" s="137"/>
      <c r="D552" s="137"/>
      <c r="E552" s="137"/>
      <c r="F552" s="137"/>
      <c r="G552" s="137"/>
      <c r="H552" s="137"/>
      <c r="I552" s="137"/>
      <c r="J552" s="137"/>
      <c r="K552" s="137"/>
      <c r="L552" s="137"/>
      <c r="M552" s="137"/>
      <c r="N552" s="137"/>
      <c r="O552" s="137"/>
      <c r="P552" s="137"/>
    </row>
    <row r="553" spans="3:16" x14ac:dyDescent="0.25">
      <c r="C553" s="137"/>
      <c r="D553" s="137"/>
      <c r="E553" s="137"/>
      <c r="F553" s="137"/>
      <c r="G553" s="137"/>
      <c r="H553" s="137"/>
      <c r="I553" s="137"/>
      <c r="J553" s="137"/>
      <c r="K553" s="137"/>
      <c r="L553" s="137"/>
      <c r="M553" s="137"/>
      <c r="N553" s="137"/>
      <c r="O553" s="137"/>
      <c r="P553" s="137"/>
    </row>
    <row r="554" spans="3:16" x14ac:dyDescent="0.25">
      <c r="C554" s="137"/>
      <c r="D554" s="137"/>
      <c r="E554" s="137"/>
      <c r="F554" s="137"/>
      <c r="G554" s="137"/>
      <c r="H554" s="137"/>
      <c r="I554" s="137"/>
      <c r="J554" s="137"/>
      <c r="K554" s="137"/>
      <c r="L554" s="137"/>
      <c r="M554" s="137"/>
      <c r="N554" s="137"/>
      <c r="O554" s="137"/>
      <c r="P554" s="137"/>
    </row>
    <row r="555" spans="3:16" x14ac:dyDescent="0.25">
      <c r="C555" s="137"/>
      <c r="D555" s="137"/>
      <c r="E555" s="137"/>
      <c r="F555" s="137"/>
      <c r="G555" s="137"/>
      <c r="H555" s="137"/>
      <c r="I555" s="137"/>
      <c r="J555" s="137"/>
      <c r="K555" s="137"/>
      <c r="L555" s="137"/>
      <c r="M555" s="137"/>
      <c r="N555" s="137"/>
      <c r="O555" s="137"/>
      <c r="P555" s="137"/>
    </row>
    <row r="556" spans="3:16" x14ac:dyDescent="0.25">
      <c r="C556" s="137"/>
      <c r="D556" s="137"/>
      <c r="E556" s="137"/>
      <c r="F556" s="137"/>
      <c r="G556" s="137"/>
      <c r="H556" s="137"/>
      <c r="I556" s="137"/>
      <c r="J556" s="137"/>
      <c r="K556" s="137"/>
      <c r="L556" s="137"/>
      <c r="M556" s="137"/>
      <c r="N556" s="137"/>
      <c r="O556" s="137"/>
      <c r="P556" s="137"/>
    </row>
    <row r="557" spans="3:16" x14ac:dyDescent="0.25">
      <c r="C557" s="137"/>
      <c r="D557" s="137"/>
      <c r="E557" s="137"/>
      <c r="F557" s="137"/>
      <c r="G557" s="137"/>
      <c r="H557" s="137"/>
      <c r="I557" s="137"/>
      <c r="J557" s="137"/>
      <c r="K557" s="137"/>
      <c r="L557" s="137"/>
      <c r="M557" s="137"/>
      <c r="N557" s="137"/>
      <c r="O557" s="137"/>
      <c r="P557" s="137"/>
    </row>
    <row r="558" spans="3:16" x14ac:dyDescent="0.25">
      <c r="C558" s="137"/>
      <c r="D558" s="137"/>
      <c r="E558" s="137"/>
      <c r="F558" s="137"/>
      <c r="G558" s="137"/>
      <c r="H558" s="137"/>
      <c r="I558" s="137"/>
      <c r="J558" s="137"/>
      <c r="K558" s="137"/>
      <c r="L558" s="137"/>
      <c r="M558" s="137"/>
      <c r="N558" s="137"/>
      <c r="O558" s="137"/>
      <c r="P558" s="137"/>
    </row>
    <row r="559" spans="3:16" x14ac:dyDescent="0.25">
      <c r="C559" s="137"/>
      <c r="D559" s="137"/>
      <c r="E559" s="137"/>
      <c r="F559" s="137"/>
      <c r="G559" s="137"/>
      <c r="H559" s="137"/>
      <c r="I559" s="137"/>
      <c r="J559" s="137"/>
      <c r="K559" s="137"/>
      <c r="L559" s="137"/>
      <c r="M559" s="137"/>
      <c r="N559" s="137"/>
      <c r="O559" s="137"/>
      <c r="P559" s="137"/>
    </row>
    <row r="560" spans="3:16" x14ac:dyDescent="0.25">
      <c r="C560" s="137"/>
      <c r="D560" s="137"/>
      <c r="E560" s="137"/>
      <c r="F560" s="137"/>
      <c r="G560" s="137"/>
      <c r="H560" s="137"/>
      <c r="I560" s="137"/>
      <c r="J560" s="137"/>
      <c r="K560" s="137"/>
      <c r="L560" s="137"/>
      <c r="M560" s="137"/>
      <c r="N560" s="137"/>
      <c r="O560" s="137"/>
      <c r="P560" s="137"/>
    </row>
    <row r="561" spans="3:16" x14ac:dyDescent="0.25">
      <c r="C561" s="137"/>
      <c r="D561" s="137"/>
      <c r="E561" s="137"/>
      <c r="F561" s="137"/>
      <c r="G561" s="137"/>
      <c r="H561" s="137"/>
      <c r="I561" s="137"/>
      <c r="J561" s="137"/>
      <c r="K561" s="137"/>
      <c r="L561" s="137"/>
      <c r="M561" s="137"/>
      <c r="N561" s="137"/>
      <c r="O561" s="137"/>
      <c r="P561" s="137"/>
    </row>
    <row r="562" spans="3:16" x14ac:dyDescent="0.25">
      <c r="C562" s="137"/>
      <c r="D562" s="137"/>
      <c r="E562" s="137"/>
      <c r="F562" s="137"/>
      <c r="G562" s="137"/>
      <c r="H562" s="137"/>
      <c r="I562" s="137"/>
      <c r="J562" s="137"/>
      <c r="K562" s="137"/>
      <c r="L562" s="137"/>
      <c r="M562" s="137"/>
      <c r="N562" s="137"/>
      <c r="O562" s="137"/>
      <c r="P562" s="137"/>
    </row>
    <row r="563" spans="3:16" x14ac:dyDescent="0.25">
      <c r="C563" s="137"/>
      <c r="D563" s="137"/>
      <c r="E563" s="137"/>
      <c r="F563" s="137"/>
      <c r="G563" s="137"/>
      <c r="H563" s="137"/>
      <c r="I563" s="137"/>
      <c r="J563" s="137"/>
      <c r="K563" s="137"/>
      <c r="L563" s="137"/>
      <c r="M563" s="137"/>
      <c r="N563" s="137"/>
      <c r="O563" s="137"/>
      <c r="P563" s="137"/>
    </row>
    <row r="564" spans="3:16" x14ac:dyDescent="0.25">
      <c r="C564" s="137"/>
      <c r="D564" s="137"/>
      <c r="E564" s="137"/>
      <c r="F564" s="137"/>
      <c r="G564" s="137"/>
      <c r="H564" s="137"/>
      <c r="I564" s="137"/>
      <c r="J564" s="137"/>
      <c r="K564" s="137"/>
      <c r="L564" s="137"/>
      <c r="M564" s="137"/>
      <c r="N564" s="137"/>
      <c r="O564" s="137"/>
      <c r="P564" s="137"/>
    </row>
    <row r="565" spans="3:16" x14ac:dyDescent="0.25">
      <c r="C565" s="137"/>
      <c r="D565" s="137"/>
      <c r="E565" s="137"/>
      <c r="F565" s="137"/>
      <c r="G565" s="137"/>
      <c r="H565" s="137"/>
      <c r="I565" s="137"/>
      <c r="J565" s="137"/>
      <c r="K565" s="137"/>
      <c r="L565" s="137"/>
      <c r="M565" s="137"/>
      <c r="N565" s="137"/>
      <c r="O565" s="137"/>
      <c r="P565" s="137"/>
    </row>
    <row r="566" spans="3:16" x14ac:dyDescent="0.25">
      <c r="C566" s="137"/>
      <c r="D566" s="137"/>
      <c r="E566" s="137"/>
      <c r="F566" s="137"/>
      <c r="G566" s="137"/>
      <c r="H566" s="137"/>
      <c r="I566" s="137"/>
      <c r="J566" s="137"/>
      <c r="K566" s="137"/>
      <c r="L566" s="137"/>
      <c r="M566" s="137"/>
      <c r="N566" s="137"/>
      <c r="O566" s="137"/>
      <c r="P566" s="137"/>
    </row>
    <row r="567" spans="3:16" x14ac:dyDescent="0.25">
      <c r="C567" s="137"/>
      <c r="D567" s="137"/>
      <c r="E567" s="137"/>
      <c r="F567" s="137"/>
      <c r="G567" s="137"/>
      <c r="H567" s="137"/>
      <c r="I567" s="137"/>
      <c r="J567" s="137"/>
      <c r="K567" s="137"/>
      <c r="L567" s="137"/>
      <c r="M567" s="137"/>
      <c r="N567" s="137"/>
      <c r="O567" s="137"/>
      <c r="P567" s="137"/>
    </row>
    <row r="568" spans="3:16" x14ac:dyDescent="0.25">
      <c r="C568" s="137"/>
      <c r="D568" s="137"/>
      <c r="E568" s="137"/>
      <c r="F568" s="137"/>
      <c r="G568" s="137"/>
      <c r="H568" s="137"/>
      <c r="I568" s="137"/>
      <c r="J568" s="137"/>
      <c r="K568" s="137"/>
      <c r="L568" s="137"/>
      <c r="M568" s="137"/>
      <c r="N568" s="137"/>
      <c r="O568" s="137"/>
      <c r="P568" s="137"/>
    </row>
    <row r="569" spans="3:16" x14ac:dyDescent="0.25">
      <c r="C569" s="137"/>
      <c r="D569" s="137"/>
      <c r="E569" s="137"/>
      <c r="F569" s="137"/>
      <c r="G569" s="137"/>
      <c r="H569" s="137"/>
      <c r="I569" s="137"/>
      <c r="J569" s="137"/>
      <c r="K569" s="137"/>
      <c r="L569" s="137"/>
      <c r="M569" s="137"/>
      <c r="N569" s="137"/>
      <c r="O569" s="137"/>
      <c r="P569" s="137"/>
    </row>
    <row r="570" spans="3:16" x14ac:dyDescent="0.25">
      <c r="C570" s="137"/>
      <c r="D570" s="137"/>
      <c r="E570" s="137"/>
      <c r="F570" s="137"/>
      <c r="G570" s="137"/>
      <c r="H570" s="137"/>
      <c r="I570" s="137"/>
      <c r="J570" s="137"/>
      <c r="K570" s="137"/>
      <c r="L570" s="137"/>
      <c r="M570" s="137"/>
      <c r="N570" s="137"/>
      <c r="O570" s="137"/>
      <c r="P570" s="137"/>
    </row>
    <row r="571" spans="3:16" x14ac:dyDescent="0.25">
      <c r="C571" s="137"/>
      <c r="D571" s="137"/>
      <c r="E571" s="137"/>
      <c r="F571" s="137"/>
      <c r="G571" s="137"/>
      <c r="H571" s="137"/>
      <c r="I571" s="137"/>
      <c r="J571" s="137"/>
      <c r="K571" s="137"/>
      <c r="L571" s="137"/>
      <c r="M571" s="137"/>
      <c r="N571" s="137"/>
      <c r="O571" s="137"/>
      <c r="P571" s="137"/>
    </row>
    <row r="572" spans="3:16" x14ac:dyDescent="0.25">
      <c r="C572" s="137"/>
      <c r="D572" s="137"/>
      <c r="E572" s="137"/>
      <c r="F572" s="137"/>
      <c r="G572" s="137"/>
      <c r="H572" s="137"/>
      <c r="I572" s="137"/>
      <c r="J572" s="137"/>
      <c r="K572" s="137"/>
      <c r="L572" s="137"/>
      <c r="M572" s="137"/>
      <c r="N572" s="137"/>
      <c r="O572" s="137"/>
      <c r="P572" s="137"/>
    </row>
    <row r="573" spans="3:16" x14ac:dyDescent="0.25">
      <c r="C573" s="137"/>
      <c r="D573" s="137"/>
      <c r="E573" s="137"/>
      <c r="F573" s="137"/>
      <c r="G573" s="137"/>
      <c r="H573" s="137"/>
      <c r="I573" s="137"/>
      <c r="J573" s="137"/>
      <c r="K573" s="137"/>
      <c r="L573" s="137"/>
      <c r="M573" s="137"/>
      <c r="N573" s="137"/>
      <c r="O573" s="137"/>
      <c r="P573" s="137"/>
    </row>
    <row r="574" spans="3:16" x14ac:dyDescent="0.25">
      <c r="C574" s="137"/>
      <c r="D574" s="137"/>
      <c r="E574" s="137"/>
      <c r="F574" s="137"/>
      <c r="G574" s="137"/>
      <c r="H574" s="137"/>
      <c r="I574" s="137"/>
      <c r="J574" s="137"/>
      <c r="K574" s="137"/>
      <c r="L574" s="137"/>
      <c r="M574" s="137"/>
      <c r="N574" s="137"/>
      <c r="O574" s="137"/>
      <c r="P574" s="137"/>
    </row>
    <row r="575" spans="3:16" x14ac:dyDescent="0.25">
      <c r="C575" s="137"/>
      <c r="D575" s="137"/>
      <c r="E575" s="137"/>
      <c r="F575" s="137"/>
      <c r="G575" s="137"/>
      <c r="H575" s="137"/>
      <c r="I575" s="137"/>
      <c r="J575" s="137"/>
      <c r="K575" s="137"/>
      <c r="L575" s="137"/>
      <c r="M575" s="137"/>
      <c r="N575" s="137"/>
      <c r="O575" s="137"/>
      <c r="P575" s="137"/>
    </row>
    <row r="576" spans="3:16" x14ac:dyDescent="0.25">
      <c r="C576" s="137"/>
      <c r="D576" s="137"/>
      <c r="E576" s="137"/>
      <c r="F576" s="137"/>
      <c r="G576" s="137"/>
      <c r="H576" s="137"/>
      <c r="I576" s="137"/>
      <c r="J576" s="137"/>
      <c r="K576" s="137"/>
      <c r="L576" s="137"/>
      <c r="M576" s="137"/>
      <c r="N576" s="137"/>
      <c r="O576" s="137"/>
      <c r="P576" s="137"/>
    </row>
    <row r="577" spans="3:16" x14ac:dyDescent="0.25">
      <c r="C577" s="137"/>
      <c r="D577" s="137"/>
      <c r="E577" s="137"/>
      <c r="F577" s="137"/>
      <c r="G577" s="137"/>
      <c r="H577" s="137"/>
      <c r="I577" s="137"/>
      <c r="J577" s="137"/>
      <c r="K577" s="137"/>
      <c r="L577" s="137"/>
      <c r="M577" s="137"/>
      <c r="N577" s="137"/>
      <c r="O577" s="137"/>
      <c r="P577" s="137"/>
    </row>
    <row r="578" spans="3:16" x14ac:dyDescent="0.25">
      <c r="C578" s="137"/>
      <c r="D578" s="137"/>
      <c r="E578" s="137"/>
      <c r="F578" s="137"/>
      <c r="G578" s="137"/>
      <c r="H578" s="137"/>
      <c r="I578" s="137"/>
      <c r="J578" s="137"/>
      <c r="K578" s="137"/>
      <c r="L578" s="137"/>
      <c r="M578" s="137"/>
      <c r="N578" s="137"/>
      <c r="O578" s="137"/>
      <c r="P578" s="137"/>
    </row>
    <row r="579" spans="3:16" x14ac:dyDescent="0.25">
      <c r="C579" s="137"/>
      <c r="D579" s="137"/>
      <c r="E579" s="137"/>
      <c r="F579" s="137"/>
      <c r="G579" s="137"/>
      <c r="H579" s="137"/>
      <c r="I579" s="137"/>
      <c r="J579" s="137"/>
      <c r="K579" s="137"/>
      <c r="L579" s="137"/>
      <c r="M579" s="137"/>
      <c r="N579" s="137"/>
      <c r="O579" s="137"/>
      <c r="P579" s="137"/>
    </row>
    <row r="580" spans="3:16" x14ac:dyDescent="0.25">
      <c r="C580" s="137"/>
      <c r="D580" s="137"/>
      <c r="E580" s="137"/>
      <c r="F580" s="137"/>
      <c r="G580" s="137"/>
      <c r="H580" s="137"/>
      <c r="I580" s="137"/>
      <c r="J580" s="137"/>
      <c r="K580" s="137"/>
      <c r="L580" s="137"/>
      <c r="M580" s="137"/>
      <c r="N580" s="137"/>
      <c r="O580" s="137"/>
      <c r="P580" s="137"/>
    </row>
    <row r="581" spans="3:16" x14ac:dyDescent="0.25">
      <c r="C581" s="137"/>
      <c r="D581" s="137"/>
      <c r="E581" s="137"/>
      <c r="F581" s="137"/>
      <c r="G581" s="137"/>
      <c r="H581" s="137"/>
      <c r="I581" s="137"/>
      <c r="J581" s="137"/>
      <c r="K581" s="137"/>
      <c r="L581" s="137"/>
      <c r="M581" s="137"/>
      <c r="N581" s="137"/>
      <c r="O581" s="137"/>
      <c r="P581" s="137"/>
    </row>
    <row r="582" spans="3:16" x14ac:dyDescent="0.25">
      <c r="C582" s="137"/>
      <c r="D582" s="137"/>
      <c r="E582" s="137"/>
      <c r="F582" s="137"/>
      <c r="G582" s="137"/>
      <c r="H582" s="137"/>
      <c r="I582" s="137"/>
      <c r="J582" s="137"/>
      <c r="K582" s="137"/>
      <c r="L582" s="137"/>
      <c r="M582" s="137"/>
      <c r="N582" s="137"/>
      <c r="O582" s="137"/>
      <c r="P582" s="137"/>
    </row>
    <row r="583" spans="3:16" x14ac:dyDescent="0.25">
      <c r="C583" s="137"/>
      <c r="D583" s="137"/>
      <c r="E583" s="137"/>
      <c r="F583" s="137"/>
      <c r="G583" s="137"/>
      <c r="H583" s="137"/>
      <c r="I583" s="137"/>
      <c r="J583" s="137"/>
      <c r="K583" s="137"/>
      <c r="L583" s="137"/>
      <c r="M583" s="137"/>
      <c r="N583" s="137"/>
      <c r="O583" s="137"/>
      <c r="P583" s="137"/>
    </row>
    <row r="584" spans="3:16" x14ac:dyDescent="0.25">
      <c r="C584" s="137"/>
      <c r="D584" s="137"/>
      <c r="E584" s="137"/>
      <c r="F584" s="137"/>
      <c r="G584" s="137"/>
      <c r="H584" s="137"/>
      <c r="I584" s="137"/>
      <c r="J584" s="137"/>
      <c r="K584" s="137"/>
      <c r="L584" s="137"/>
      <c r="M584" s="137"/>
      <c r="N584" s="137"/>
      <c r="O584" s="137"/>
      <c r="P584" s="137"/>
    </row>
    <row r="585" spans="3:16" x14ac:dyDescent="0.25">
      <c r="C585" s="137"/>
      <c r="D585" s="137"/>
      <c r="E585" s="137"/>
      <c r="F585" s="137"/>
      <c r="G585" s="137"/>
      <c r="H585" s="137"/>
      <c r="I585" s="137"/>
      <c r="J585" s="137"/>
      <c r="K585" s="137"/>
      <c r="L585" s="137"/>
      <c r="M585" s="137"/>
      <c r="N585" s="137"/>
      <c r="O585" s="137"/>
      <c r="P585" s="137"/>
    </row>
    <row r="586" spans="3:16" x14ac:dyDescent="0.25">
      <c r="C586" s="137"/>
      <c r="D586" s="137"/>
      <c r="E586" s="137"/>
      <c r="F586" s="137"/>
      <c r="G586" s="137"/>
      <c r="H586" s="137"/>
      <c r="I586" s="137"/>
      <c r="J586" s="137"/>
      <c r="K586" s="137"/>
      <c r="L586" s="137"/>
      <c r="M586" s="137"/>
      <c r="N586" s="137"/>
      <c r="O586" s="137"/>
      <c r="P586" s="137"/>
    </row>
    <row r="587" spans="3:16" x14ac:dyDescent="0.25">
      <c r="C587" s="137"/>
      <c r="D587" s="137"/>
      <c r="E587" s="137"/>
      <c r="F587" s="137"/>
      <c r="G587" s="137"/>
      <c r="H587" s="137"/>
      <c r="I587" s="137"/>
      <c r="J587" s="137"/>
      <c r="K587" s="137"/>
      <c r="L587" s="137"/>
      <c r="M587" s="137"/>
      <c r="N587" s="137"/>
      <c r="O587" s="137"/>
      <c r="P587" s="137"/>
    </row>
    <row r="588" spans="3:16" x14ac:dyDescent="0.25">
      <c r="C588" s="137"/>
      <c r="D588" s="137"/>
      <c r="E588" s="137"/>
      <c r="F588" s="137"/>
      <c r="G588" s="137"/>
      <c r="H588" s="137"/>
      <c r="I588" s="137"/>
      <c r="J588" s="137"/>
      <c r="K588" s="137"/>
      <c r="L588" s="137"/>
      <c r="M588" s="137"/>
      <c r="N588" s="137"/>
      <c r="O588" s="137"/>
      <c r="P588" s="137"/>
    </row>
    <row r="589" spans="3:16" x14ac:dyDescent="0.25">
      <c r="C589" s="137"/>
      <c r="D589" s="137"/>
      <c r="E589" s="137"/>
      <c r="F589" s="137"/>
      <c r="G589" s="137"/>
      <c r="H589" s="137"/>
      <c r="I589" s="137"/>
      <c r="J589" s="137"/>
      <c r="K589" s="137"/>
      <c r="L589" s="137"/>
      <c r="M589" s="137"/>
      <c r="N589" s="137"/>
      <c r="O589" s="137"/>
      <c r="P589" s="137"/>
    </row>
    <row r="590" spans="3:16" x14ac:dyDescent="0.25">
      <c r="C590" s="137"/>
      <c r="D590" s="137"/>
      <c r="E590" s="137"/>
      <c r="F590" s="137"/>
      <c r="G590" s="137"/>
      <c r="H590" s="137"/>
      <c r="I590" s="137"/>
      <c r="J590" s="137"/>
      <c r="K590" s="137"/>
      <c r="L590" s="137"/>
      <c r="M590" s="137"/>
      <c r="N590" s="137"/>
      <c r="O590" s="137"/>
      <c r="P590" s="137"/>
    </row>
    <row r="591" spans="3:16" x14ac:dyDescent="0.25">
      <c r="C591" s="137"/>
      <c r="D591" s="137"/>
      <c r="E591" s="137"/>
      <c r="F591" s="137"/>
      <c r="G591" s="137"/>
      <c r="H591" s="137"/>
      <c r="I591" s="137"/>
      <c r="J591" s="137"/>
      <c r="K591" s="137"/>
      <c r="L591" s="137"/>
      <c r="M591" s="137"/>
      <c r="N591" s="137"/>
      <c r="O591" s="137"/>
      <c r="P591" s="137"/>
    </row>
    <row r="592" spans="3:16" x14ac:dyDescent="0.25">
      <c r="C592" s="137"/>
      <c r="D592" s="137"/>
      <c r="E592" s="137"/>
      <c r="F592" s="137"/>
      <c r="G592" s="137"/>
      <c r="H592" s="137"/>
      <c r="I592" s="137"/>
      <c r="J592" s="137"/>
      <c r="K592" s="137"/>
      <c r="L592" s="137"/>
      <c r="M592" s="137"/>
      <c r="N592" s="137"/>
      <c r="O592" s="137"/>
      <c r="P592" s="137"/>
    </row>
    <row r="593" spans="3:16" x14ac:dyDescent="0.25">
      <c r="C593" s="137"/>
      <c r="D593" s="137"/>
      <c r="E593" s="137"/>
      <c r="F593" s="137"/>
      <c r="G593" s="137"/>
      <c r="H593" s="137"/>
      <c r="I593" s="137"/>
      <c r="J593" s="137"/>
      <c r="K593" s="137"/>
      <c r="L593" s="137"/>
      <c r="M593" s="137"/>
      <c r="N593" s="137"/>
      <c r="O593" s="137"/>
      <c r="P593" s="137"/>
    </row>
    <row r="594" spans="3:16" x14ac:dyDescent="0.25">
      <c r="C594" s="137"/>
      <c r="D594" s="137"/>
      <c r="E594" s="137"/>
      <c r="F594" s="137"/>
      <c r="G594" s="137"/>
      <c r="H594" s="137"/>
      <c r="I594" s="137"/>
      <c r="J594" s="137"/>
      <c r="K594" s="137"/>
      <c r="L594" s="137"/>
      <c r="M594" s="137"/>
      <c r="N594" s="137"/>
      <c r="O594" s="137"/>
      <c r="P594" s="137"/>
    </row>
    <row r="595" spans="3:16" x14ac:dyDescent="0.25">
      <c r="C595" s="137"/>
      <c r="D595" s="137"/>
      <c r="E595" s="137"/>
      <c r="F595" s="137"/>
      <c r="G595" s="137"/>
      <c r="H595" s="137"/>
      <c r="I595" s="137"/>
      <c r="J595" s="137"/>
      <c r="K595" s="137"/>
      <c r="L595" s="137"/>
      <c r="M595" s="137"/>
      <c r="N595" s="137"/>
      <c r="O595" s="137"/>
      <c r="P595" s="137"/>
    </row>
    <row r="596" spans="3:16" x14ac:dyDescent="0.25">
      <c r="C596" s="137"/>
      <c r="D596" s="137"/>
      <c r="E596" s="137"/>
      <c r="F596" s="137"/>
      <c r="G596" s="137"/>
      <c r="H596" s="137"/>
      <c r="I596" s="137"/>
      <c r="J596" s="137"/>
      <c r="K596" s="137"/>
      <c r="L596" s="137"/>
      <c r="M596" s="137"/>
      <c r="N596" s="137"/>
      <c r="O596" s="137"/>
      <c r="P596" s="137"/>
    </row>
    <row r="597" spans="3:16" x14ac:dyDescent="0.25">
      <c r="C597" s="137"/>
      <c r="D597" s="137"/>
      <c r="E597" s="137"/>
      <c r="F597" s="137"/>
      <c r="G597" s="137"/>
      <c r="H597" s="137"/>
      <c r="I597" s="137"/>
      <c r="J597" s="137"/>
      <c r="K597" s="137"/>
      <c r="L597" s="137"/>
      <c r="M597" s="137"/>
      <c r="N597" s="137"/>
      <c r="O597" s="137"/>
      <c r="P597" s="137"/>
    </row>
    <row r="598" spans="3:16" x14ac:dyDescent="0.25">
      <c r="C598" s="137"/>
      <c r="D598" s="137"/>
      <c r="E598" s="137"/>
      <c r="F598" s="137"/>
      <c r="G598" s="137"/>
      <c r="H598" s="137"/>
      <c r="I598" s="137"/>
      <c r="J598" s="137"/>
      <c r="K598" s="137"/>
      <c r="L598" s="137"/>
      <c r="M598" s="137"/>
      <c r="N598" s="137"/>
      <c r="O598" s="137"/>
      <c r="P598" s="137"/>
    </row>
    <row r="599" spans="3:16" x14ac:dyDescent="0.25">
      <c r="C599" s="137"/>
      <c r="D599" s="137"/>
      <c r="E599" s="137"/>
      <c r="F599" s="137"/>
      <c r="G599" s="137"/>
      <c r="H599" s="137"/>
      <c r="I599" s="137"/>
      <c r="J599" s="137"/>
      <c r="K599" s="137"/>
      <c r="L599" s="137"/>
      <c r="M599" s="137"/>
      <c r="N599" s="137"/>
      <c r="O599" s="137"/>
      <c r="P599" s="137"/>
    </row>
    <row r="600" spans="3:16" x14ac:dyDescent="0.25">
      <c r="C600" s="137"/>
      <c r="D600" s="137"/>
      <c r="E600" s="137"/>
      <c r="F600" s="137"/>
      <c r="G600" s="137"/>
      <c r="H600" s="137"/>
      <c r="I600" s="137"/>
      <c r="J600" s="137"/>
      <c r="K600" s="137"/>
      <c r="L600" s="137"/>
      <c r="M600" s="137"/>
      <c r="N600" s="137"/>
      <c r="O600" s="137"/>
      <c r="P600" s="137"/>
    </row>
    <row r="601" spans="3:16" x14ac:dyDescent="0.25">
      <c r="C601" s="137"/>
      <c r="D601" s="137"/>
      <c r="E601" s="137"/>
      <c r="F601" s="137"/>
      <c r="G601" s="137"/>
      <c r="H601" s="137"/>
      <c r="I601" s="137"/>
      <c r="J601" s="137"/>
      <c r="K601" s="137"/>
      <c r="L601" s="137"/>
      <c r="M601" s="137"/>
      <c r="N601" s="137"/>
      <c r="O601" s="137"/>
      <c r="P601" s="137"/>
    </row>
    <row r="602" spans="3:16" x14ac:dyDescent="0.25">
      <c r="C602" s="137"/>
      <c r="D602" s="137"/>
      <c r="E602" s="137"/>
      <c r="F602" s="137"/>
      <c r="G602" s="137"/>
      <c r="H602" s="137"/>
      <c r="I602" s="137"/>
      <c r="J602" s="137"/>
      <c r="K602" s="137"/>
      <c r="L602" s="137"/>
      <c r="M602" s="137"/>
      <c r="N602" s="137"/>
      <c r="O602" s="137"/>
      <c r="P602" s="137"/>
    </row>
    <row r="603" spans="3:16" x14ac:dyDescent="0.25">
      <c r="C603" s="137"/>
      <c r="D603" s="137"/>
      <c r="E603" s="137"/>
      <c r="F603" s="137"/>
      <c r="G603" s="137"/>
      <c r="H603" s="137"/>
      <c r="I603" s="137"/>
      <c r="J603" s="137"/>
      <c r="K603" s="137"/>
      <c r="L603" s="137"/>
      <c r="M603" s="137"/>
      <c r="N603" s="137"/>
      <c r="O603" s="137"/>
      <c r="P603" s="137"/>
    </row>
    <row r="604" spans="3:16" x14ac:dyDescent="0.25">
      <c r="C604" s="137"/>
      <c r="D604" s="137"/>
      <c r="E604" s="137"/>
      <c r="F604" s="137"/>
      <c r="G604" s="137"/>
      <c r="H604" s="137"/>
      <c r="I604" s="137"/>
      <c r="J604" s="137"/>
      <c r="K604" s="137"/>
      <c r="L604" s="137"/>
      <c r="M604" s="137"/>
      <c r="N604" s="137"/>
      <c r="O604" s="137"/>
      <c r="P604" s="137"/>
    </row>
    <row r="605" spans="3:16" x14ac:dyDescent="0.25">
      <c r="C605" s="137"/>
      <c r="D605" s="137"/>
      <c r="E605" s="137"/>
      <c r="F605" s="137"/>
      <c r="G605" s="137"/>
      <c r="H605" s="137"/>
      <c r="I605" s="137"/>
      <c r="J605" s="137"/>
      <c r="K605" s="137"/>
      <c r="L605" s="137"/>
      <c r="M605" s="137"/>
      <c r="N605" s="137"/>
      <c r="O605" s="137"/>
      <c r="P605" s="137"/>
    </row>
    <row r="606" spans="3:16" x14ac:dyDescent="0.25">
      <c r="C606" s="137"/>
      <c r="D606" s="137"/>
      <c r="E606" s="137"/>
      <c r="F606" s="137"/>
      <c r="G606" s="137"/>
      <c r="H606" s="137"/>
      <c r="I606" s="137"/>
      <c r="J606" s="137"/>
      <c r="K606" s="137"/>
      <c r="L606" s="137"/>
      <c r="M606" s="137"/>
      <c r="N606" s="137"/>
      <c r="O606" s="137"/>
      <c r="P606" s="137"/>
    </row>
    <row r="607" spans="3:16" x14ac:dyDescent="0.25">
      <c r="C607" s="137"/>
      <c r="D607" s="137"/>
      <c r="E607" s="137"/>
      <c r="F607" s="137"/>
      <c r="G607" s="137"/>
      <c r="H607" s="137"/>
      <c r="I607" s="137"/>
      <c r="J607" s="137"/>
      <c r="K607" s="137"/>
      <c r="L607" s="137"/>
      <c r="M607" s="137"/>
      <c r="N607" s="137"/>
      <c r="O607" s="137"/>
      <c r="P607" s="137"/>
    </row>
    <row r="608" spans="3:16" x14ac:dyDescent="0.25">
      <c r="C608" s="137"/>
      <c r="D608" s="137"/>
      <c r="E608" s="137"/>
      <c r="F608" s="137"/>
      <c r="G608" s="137"/>
      <c r="H608" s="137"/>
      <c r="I608" s="137"/>
      <c r="J608" s="137"/>
      <c r="K608" s="137"/>
      <c r="L608" s="137"/>
      <c r="M608" s="137"/>
      <c r="N608" s="137"/>
      <c r="O608" s="137"/>
      <c r="P608" s="137"/>
    </row>
    <row r="609" spans="3:16" x14ac:dyDescent="0.25">
      <c r="C609" s="137"/>
      <c r="D609" s="137"/>
      <c r="E609" s="137"/>
      <c r="F609" s="137"/>
      <c r="G609" s="137"/>
      <c r="H609" s="137"/>
      <c r="I609" s="137"/>
      <c r="J609" s="137"/>
      <c r="K609" s="137"/>
      <c r="L609" s="137"/>
      <c r="M609" s="137"/>
      <c r="N609" s="137"/>
      <c r="O609" s="137"/>
      <c r="P609" s="137"/>
    </row>
    <row r="610" spans="3:16" x14ac:dyDescent="0.25">
      <c r="C610" s="137"/>
      <c r="D610" s="137"/>
      <c r="E610" s="137"/>
      <c r="F610" s="137"/>
      <c r="G610" s="137"/>
      <c r="H610" s="137"/>
      <c r="I610" s="137"/>
      <c r="J610" s="137"/>
      <c r="K610" s="137"/>
      <c r="L610" s="137"/>
      <c r="M610" s="137"/>
      <c r="N610" s="137"/>
      <c r="O610" s="137"/>
      <c r="P610" s="137"/>
    </row>
    <row r="611" spans="3:16" x14ac:dyDescent="0.25">
      <c r="C611" s="137"/>
      <c r="D611" s="137"/>
      <c r="E611" s="137"/>
      <c r="F611" s="137"/>
      <c r="G611" s="137"/>
      <c r="H611" s="137"/>
      <c r="I611" s="137"/>
      <c r="J611" s="137"/>
      <c r="K611" s="137"/>
      <c r="L611" s="137"/>
      <c r="M611" s="137"/>
      <c r="N611" s="137"/>
      <c r="O611" s="137"/>
      <c r="P611" s="137"/>
    </row>
    <row r="612" spans="3:16" x14ac:dyDescent="0.25">
      <c r="C612" s="137"/>
      <c r="D612" s="137"/>
      <c r="E612" s="137"/>
      <c r="F612" s="137"/>
      <c r="G612" s="137"/>
      <c r="H612" s="137"/>
      <c r="I612" s="137"/>
      <c r="J612" s="137"/>
      <c r="K612" s="137"/>
      <c r="L612" s="137"/>
      <c r="M612" s="137"/>
      <c r="N612" s="137"/>
      <c r="O612" s="137"/>
      <c r="P612" s="137"/>
    </row>
    <row r="613" spans="3:16" x14ac:dyDescent="0.25">
      <c r="C613" s="137"/>
      <c r="D613" s="137"/>
      <c r="E613" s="137"/>
      <c r="F613" s="137"/>
      <c r="G613" s="137"/>
      <c r="H613" s="137"/>
      <c r="I613" s="137"/>
      <c r="J613" s="137"/>
      <c r="K613" s="137"/>
      <c r="L613" s="137"/>
      <c r="M613" s="137"/>
      <c r="N613" s="137"/>
      <c r="O613" s="137"/>
      <c r="P613" s="137"/>
    </row>
    <row r="614" spans="3:16" x14ac:dyDescent="0.25">
      <c r="C614" s="137"/>
      <c r="D614" s="137"/>
      <c r="E614" s="137"/>
      <c r="F614" s="137"/>
      <c r="G614" s="137"/>
      <c r="H614" s="137"/>
      <c r="I614" s="137"/>
      <c r="J614" s="137"/>
      <c r="K614" s="137"/>
      <c r="L614" s="137"/>
      <c r="M614" s="137"/>
      <c r="N614" s="137"/>
      <c r="O614" s="137"/>
      <c r="P614" s="137"/>
    </row>
    <row r="615" spans="3:16" x14ac:dyDescent="0.25">
      <c r="C615" s="137"/>
      <c r="D615" s="137"/>
      <c r="E615" s="137"/>
      <c r="F615" s="137"/>
      <c r="G615" s="137"/>
      <c r="H615" s="137"/>
      <c r="I615" s="137"/>
      <c r="J615" s="137"/>
      <c r="K615" s="137"/>
      <c r="L615" s="137"/>
      <c r="M615" s="137"/>
      <c r="N615" s="137"/>
      <c r="O615" s="137"/>
      <c r="P615" s="137"/>
    </row>
    <row r="616" spans="3:16" x14ac:dyDescent="0.25">
      <c r="C616" s="137"/>
      <c r="D616" s="137"/>
      <c r="E616" s="137"/>
      <c r="F616" s="137"/>
      <c r="G616" s="137"/>
      <c r="H616" s="137"/>
      <c r="I616" s="137"/>
      <c r="J616" s="137"/>
      <c r="K616" s="137"/>
      <c r="L616" s="137"/>
      <c r="M616" s="137"/>
      <c r="N616" s="137"/>
      <c r="O616" s="137"/>
      <c r="P616" s="137"/>
    </row>
    <row r="617" spans="3:16" x14ac:dyDescent="0.25">
      <c r="C617" s="137"/>
      <c r="D617" s="137"/>
      <c r="E617" s="137"/>
      <c r="F617" s="137"/>
      <c r="G617" s="137"/>
      <c r="H617" s="137"/>
      <c r="I617" s="137"/>
      <c r="J617" s="137"/>
      <c r="K617" s="137"/>
      <c r="L617" s="137"/>
      <c r="M617" s="137"/>
      <c r="N617" s="137"/>
      <c r="O617" s="137"/>
      <c r="P617" s="137"/>
    </row>
    <row r="618" spans="3:16" x14ac:dyDescent="0.25">
      <c r="C618" s="137"/>
      <c r="D618" s="137"/>
      <c r="E618" s="137"/>
      <c r="F618" s="137"/>
      <c r="G618" s="137"/>
      <c r="H618" s="137"/>
      <c r="I618" s="137"/>
      <c r="J618" s="137"/>
      <c r="K618" s="137"/>
      <c r="L618" s="137"/>
      <c r="M618" s="137"/>
      <c r="N618" s="137"/>
      <c r="O618" s="137"/>
      <c r="P618" s="137"/>
    </row>
    <row r="619" spans="3:16" x14ac:dyDescent="0.25">
      <c r="C619" s="137"/>
      <c r="D619" s="137"/>
      <c r="E619" s="137"/>
      <c r="F619" s="137"/>
      <c r="G619" s="137"/>
      <c r="H619" s="137"/>
      <c r="I619" s="137"/>
      <c r="J619" s="137"/>
      <c r="K619" s="137"/>
      <c r="L619" s="137"/>
      <c r="M619" s="137"/>
      <c r="N619" s="137"/>
      <c r="O619" s="137"/>
      <c r="P619" s="137"/>
    </row>
    <row r="620" spans="3:16" x14ac:dyDescent="0.25">
      <c r="C620" s="137"/>
      <c r="D620" s="137"/>
      <c r="E620" s="137"/>
      <c r="F620" s="137"/>
      <c r="G620" s="137"/>
      <c r="H620" s="137"/>
      <c r="I620" s="137"/>
      <c r="J620" s="137"/>
      <c r="K620" s="137"/>
      <c r="L620" s="137"/>
      <c r="M620" s="137"/>
      <c r="N620" s="137"/>
      <c r="O620" s="137"/>
      <c r="P620" s="137"/>
    </row>
    <row r="621" spans="3:16" x14ac:dyDescent="0.25">
      <c r="C621" s="137"/>
      <c r="D621" s="137"/>
      <c r="E621" s="137"/>
      <c r="F621" s="137"/>
      <c r="G621" s="137"/>
      <c r="H621" s="137"/>
      <c r="I621" s="137"/>
      <c r="J621" s="137"/>
      <c r="K621" s="137"/>
      <c r="L621" s="137"/>
      <c r="M621" s="137"/>
      <c r="N621" s="137"/>
      <c r="O621" s="137"/>
      <c r="P621" s="137"/>
    </row>
    <row r="622" spans="3:16" x14ac:dyDescent="0.25">
      <c r="C622" s="137"/>
      <c r="D622" s="137"/>
      <c r="E622" s="137"/>
      <c r="F622" s="137"/>
      <c r="G622" s="137"/>
      <c r="H622" s="137"/>
      <c r="I622" s="137"/>
      <c r="J622" s="137"/>
      <c r="K622" s="137"/>
      <c r="L622" s="137"/>
      <c r="M622" s="137"/>
      <c r="N622" s="137"/>
      <c r="O622" s="137"/>
      <c r="P622" s="137"/>
    </row>
    <row r="623" spans="3:16" x14ac:dyDescent="0.25">
      <c r="C623" s="137"/>
      <c r="D623" s="137"/>
      <c r="E623" s="137"/>
      <c r="F623" s="137"/>
      <c r="G623" s="137"/>
      <c r="H623" s="137"/>
      <c r="I623" s="137"/>
      <c r="J623" s="137"/>
      <c r="K623" s="137"/>
      <c r="L623" s="137"/>
      <c r="M623" s="137"/>
      <c r="N623" s="137"/>
      <c r="O623" s="137"/>
      <c r="P623" s="137"/>
    </row>
    <row r="624" spans="3:16" x14ac:dyDescent="0.25">
      <c r="C624" s="137"/>
      <c r="D624" s="137"/>
      <c r="E624" s="137"/>
      <c r="F624" s="137"/>
      <c r="G624" s="137"/>
      <c r="H624" s="137"/>
      <c r="I624" s="137"/>
      <c r="J624" s="137"/>
      <c r="K624" s="137"/>
      <c r="L624" s="137"/>
      <c r="M624" s="137"/>
      <c r="N624" s="137"/>
      <c r="O624" s="137"/>
      <c r="P624" s="137"/>
    </row>
    <row r="625" spans="3:16" x14ac:dyDescent="0.25">
      <c r="C625" s="137"/>
      <c r="D625" s="137"/>
      <c r="E625" s="137"/>
      <c r="F625" s="137"/>
      <c r="G625" s="137"/>
      <c r="H625" s="137"/>
      <c r="I625" s="137"/>
      <c r="J625" s="137"/>
      <c r="K625" s="137"/>
      <c r="L625" s="137"/>
      <c r="M625" s="137"/>
      <c r="N625" s="137"/>
      <c r="O625" s="137"/>
      <c r="P625" s="137"/>
    </row>
    <row r="626" spans="3:16" x14ac:dyDescent="0.25">
      <c r="C626" s="137"/>
      <c r="D626" s="137"/>
      <c r="E626" s="137"/>
      <c r="F626" s="137"/>
      <c r="G626" s="137"/>
      <c r="H626" s="137"/>
      <c r="I626" s="137"/>
      <c r="J626" s="137"/>
      <c r="K626" s="137"/>
      <c r="L626" s="137"/>
      <c r="M626" s="137"/>
      <c r="N626" s="137"/>
      <c r="O626" s="137"/>
      <c r="P626" s="137"/>
    </row>
    <row r="627" spans="3:16" x14ac:dyDescent="0.25">
      <c r="C627" s="137"/>
      <c r="D627" s="137"/>
      <c r="E627" s="137"/>
      <c r="F627" s="137"/>
      <c r="G627" s="137"/>
      <c r="H627" s="137"/>
      <c r="I627" s="137"/>
      <c r="J627" s="137"/>
      <c r="K627" s="137"/>
      <c r="L627" s="137"/>
      <c r="M627" s="137"/>
      <c r="N627" s="137"/>
      <c r="O627" s="137"/>
      <c r="P627" s="137"/>
    </row>
    <row r="628" spans="3:16" x14ac:dyDescent="0.25">
      <c r="C628" s="137"/>
      <c r="D628" s="137"/>
      <c r="E628" s="137"/>
      <c r="F628" s="137"/>
      <c r="G628" s="137"/>
      <c r="H628" s="137"/>
      <c r="I628" s="137"/>
      <c r="J628" s="137"/>
      <c r="K628" s="137"/>
      <c r="L628" s="137"/>
      <c r="M628" s="137"/>
      <c r="N628" s="137"/>
      <c r="O628" s="137"/>
      <c r="P628" s="137"/>
    </row>
    <row r="629" spans="3:16" x14ac:dyDescent="0.25">
      <c r="C629" s="137"/>
      <c r="D629" s="137"/>
      <c r="E629" s="137"/>
      <c r="F629" s="137"/>
      <c r="G629" s="137"/>
      <c r="H629" s="137"/>
      <c r="I629" s="137"/>
      <c r="J629" s="137"/>
      <c r="K629" s="137"/>
      <c r="L629" s="137"/>
      <c r="M629" s="137"/>
      <c r="N629" s="137"/>
      <c r="O629" s="137"/>
      <c r="P629" s="137"/>
    </row>
    <row r="630" spans="3:16" x14ac:dyDescent="0.25">
      <c r="C630" s="137"/>
      <c r="D630" s="137"/>
      <c r="E630" s="137"/>
      <c r="F630" s="137"/>
      <c r="G630" s="137"/>
      <c r="H630" s="137"/>
      <c r="I630" s="137"/>
      <c r="J630" s="137"/>
      <c r="K630" s="137"/>
      <c r="L630" s="137"/>
      <c r="M630" s="137"/>
      <c r="N630" s="137"/>
      <c r="O630" s="137"/>
      <c r="P630" s="137"/>
    </row>
    <row r="631" spans="3:16" x14ac:dyDescent="0.25">
      <c r="C631" s="137"/>
      <c r="D631" s="137"/>
      <c r="E631" s="137"/>
      <c r="F631" s="137"/>
      <c r="G631" s="137"/>
      <c r="H631" s="137"/>
      <c r="I631" s="137"/>
      <c r="J631" s="137"/>
      <c r="K631" s="137"/>
      <c r="L631" s="137"/>
      <c r="M631" s="137"/>
      <c r="N631" s="137"/>
      <c r="O631" s="137"/>
      <c r="P631" s="137"/>
    </row>
    <row r="632" spans="3:16" x14ac:dyDescent="0.25">
      <c r="C632" s="137"/>
      <c r="D632" s="137"/>
      <c r="E632" s="137"/>
      <c r="F632" s="137"/>
      <c r="G632" s="137"/>
      <c r="H632" s="137"/>
      <c r="I632" s="137"/>
      <c r="J632" s="137"/>
      <c r="K632" s="137"/>
      <c r="L632" s="137"/>
      <c r="M632" s="137"/>
      <c r="N632" s="137"/>
      <c r="O632" s="137"/>
      <c r="P632" s="137"/>
    </row>
    <row r="633" spans="3:16" x14ac:dyDescent="0.25">
      <c r="C633" s="137"/>
      <c r="D633" s="137"/>
      <c r="E633" s="137"/>
      <c r="F633" s="137"/>
      <c r="G633" s="137"/>
      <c r="H633" s="137"/>
      <c r="I633" s="137"/>
      <c r="J633" s="137"/>
      <c r="K633" s="137"/>
      <c r="L633" s="137"/>
      <c r="M633" s="137"/>
      <c r="N633" s="137"/>
      <c r="O633" s="137"/>
      <c r="P633" s="137"/>
    </row>
    <row r="634" spans="3:16" x14ac:dyDescent="0.25">
      <c r="C634" s="137"/>
      <c r="D634" s="137"/>
      <c r="E634" s="137"/>
      <c r="F634" s="137"/>
      <c r="G634" s="137"/>
      <c r="H634" s="137"/>
      <c r="I634" s="137"/>
      <c r="J634" s="137"/>
      <c r="K634" s="137"/>
      <c r="L634" s="137"/>
      <c r="M634" s="137"/>
      <c r="N634" s="137"/>
      <c r="O634" s="137"/>
      <c r="P634" s="137"/>
    </row>
    <row r="635" spans="3:16" x14ac:dyDescent="0.25">
      <c r="C635" s="137"/>
      <c r="D635" s="137"/>
      <c r="E635" s="137"/>
      <c r="F635" s="137"/>
      <c r="G635" s="137"/>
      <c r="H635" s="137"/>
      <c r="I635" s="137"/>
      <c r="J635" s="137"/>
      <c r="K635" s="137"/>
      <c r="L635" s="137"/>
      <c r="M635" s="137"/>
      <c r="N635" s="137"/>
      <c r="O635" s="137"/>
      <c r="P635" s="137"/>
    </row>
    <row r="636" spans="3:16" x14ac:dyDescent="0.25">
      <c r="C636" s="137"/>
      <c r="D636" s="137"/>
      <c r="E636" s="137"/>
      <c r="F636" s="137"/>
      <c r="G636" s="137"/>
      <c r="H636" s="137"/>
      <c r="I636" s="137"/>
      <c r="J636" s="137"/>
      <c r="K636" s="137"/>
      <c r="L636" s="137"/>
      <c r="M636" s="137"/>
      <c r="N636" s="137"/>
      <c r="O636" s="137"/>
      <c r="P636" s="137"/>
    </row>
    <row r="637" spans="3:16" x14ac:dyDescent="0.25">
      <c r="C637" s="137"/>
      <c r="D637" s="137"/>
      <c r="E637" s="137"/>
      <c r="F637" s="137"/>
      <c r="G637" s="137"/>
      <c r="H637" s="137"/>
      <c r="I637" s="137"/>
      <c r="J637" s="137"/>
      <c r="K637" s="137"/>
      <c r="L637" s="137"/>
      <c r="M637" s="137"/>
      <c r="N637" s="137"/>
      <c r="O637" s="137"/>
      <c r="P637" s="137"/>
    </row>
    <row r="638" spans="3:16" x14ac:dyDescent="0.25">
      <c r="C638" s="137"/>
      <c r="D638" s="137"/>
      <c r="E638" s="137"/>
      <c r="F638" s="137"/>
      <c r="G638" s="137"/>
      <c r="H638" s="137"/>
      <c r="I638" s="137"/>
      <c r="J638" s="137"/>
      <c r="K638" s="137"/>
      <c r="L638" s="137"/>
      <c r="M638" s="137"/>
      <c r="N638" s="137"/>
      <c r="O638" s="137"/>
      <c r="P638" s="137"/>
    </row>
    <row r="639" spans="3:16" x14ac:dyDescent="0.25">
      <c r="C639" s="137"/>
      <c r="D639" s="137"/>
      <c r="E639" s="137"/>
      <c r="F639" s="137"/>
      <c r="G639" s="137"/>
      <c r="H639" s="137"/>
      <c r="I639" s="137"/>
      <c r="J639" s="137"/>
      <c r="K639" s="137"/>
      <c r="L639" s="137"/>
      <c r="M639" s="137"/>
      <c r="N639" s="137"/>
      <c r="O639" s="137"/>
      <c r="P639" s="137"/>
    </row>
    <row r="640" spans="3:16" x14ac:dyDescent="0.25">
      <c r="C640" s="137"/>
      <c r="D640" s="137"/>
      <c r="E640" s="137"/>
      <c r="F640" s="137"/>
      <c r="G640" s="137"/>
      <c r="H640" s="137"/>
      <c r="I640" s="137"/>
      <c r="J640" s="137"/>
      <c r="K640" s="137"/>
      <c r="L640" s="137"/>
      <c r="M640" s="137"/>
      <c r="N640" s="137"/>
      <c r="O640" s="137"/>
      <c r="P640" s="137"/>
    </row>
    <row r="641" spans="3:16" x14ac:dyDescent="0.25">
      <c r="C641" s="137"/>
      <c r="D641" s="137"/>
      <c r="E641" s="137"/>
      <c r="F641" s="137"/>
      <c r="G641" s="137"/>
      <c r="H641" s="137"/>
      <c r="I641" s="137"/>
      <c r="J641" s="137"/>
      <c r="K641" s="137"/>
      <c r="L641" s="137"/>
      <c r="M641" s="137"/>
      <c r="N641" s="137"/>
      <c r="O641" s="137"/>
      <c r="P641" s="137"/>
    </row>
    <row r="642" spans="3:16" x14ac:dyDescent="0.25">
      <c r="C642" s="137"/>
      <c r="D642" s="137"/>
      <c r="E642" s="137"/>
      <c r="F642" s="137"/>
      <c r="G642" s="137"/>
      <c r="H642" s="137"/>
      <c r="I642" s="137"/>
      <c r="J642" s="137"/>
      <c r="K642" s="137"/>
      <c r="L642" s="137"/>
      <c r="M642" s="137"/>
      <c r="N642" s="137"/>
      <c r="O642" s="137"/>
      <c r="P642" s="137"/>
    </row>
    <row r="643" spans="3:16" x14ac:dyDescent="0.25">
      <c r="C643" s="137"/>
      <c r="D643" s="137"/>
      <c r="E643" s="137"/>
      <c r="F643" s="137"/>
      <c r="G643" s="137"/>
      <c r="H643" s="137"/>
      <c r="I643" s="137"/>
      <c r="J643" s="137"/>
      <c r="K643" s="137"/>
      <c r="L643" s="137"/>
      <c r="M643" s="137"/>
      <c r="N643" s="137"/>
      <c r="O643" s="137"/>
      <c r="P643" s="137"/>
    </row>
    <row r="644" spans="3:16" x14ac:dyDescent="0.25">
      <c r="C644" s="137"/>
      <c r="D644" s="137"/>
      <c r="E644" s="137"/>
      <c r="F644" s="137"/>
      <c r="G644" s="137"/>
      <c r="H644" s="137"/>
      <c r="I644" s="137"/>
      <c r="J644" s="137"/>
      <c r="K644" s="137"/>
      <c r="L644" s="137"/>
      <c r="M644" s="137"/>
      <c r="N644" s="137"/>
      <c r="O644" s="137"/>
      <c r="P644" s="137"/>
    </row>
    <row r="645" spans="3:16" x14ac:dyDescent="0.25">
      <c r="C645" s="137"/>
      <c r="D645" s="137"/>
      <c r="E645" s="137"/>
      <c r="F645" s="137"/>
      <c r="G645" s="137"/>
      <c r="H645" s="137"/>
      <c r="I645" s="137"/>
      <c r="J645" s="137"/>
      <c r="K645" s="137"/>
      <c r="L645" s="137"/>
      <c r="M645" s="137"/>
      <c r="N645" s="137"/>
      <c r="O645" s="137"/>
      <c r="P645" s="137"/>
    </row>
    <row r="646" spans="3:16" x14ac:dyDescent="0.25">
      <c r="C646" s="137"/>
      <c r="D646" s="137"/>
      <c r="E646" s="137"/>
      <c r="F646" s="137"/>
      <c r="G646" s="137"/>
      <c r="H646" s="137"/>
      <c r="I646" s="137"/>
      <c r="J646" s="137"/>
      <c r="K646" s="137"/>
      <c r="L646" s="137"/>
      <c r="M646" s="137"/>
      <c r="N646" s="137"/>
      <c r="O646" s="137"/>
      <c r="P646" s="137"/>
    </row>
    <row r="647" spans="3:16" x14ac:dyDescent="0.25">
      <c r="C647" s="137"/>
      <c r="D647" s="137"/>
      <c r="E647" s="137"/>
      <c r="F647" s="137"/>
      <c r="G647" s="137"/>
      <c r="H647" s="137"/>
      <c r="I647" s="137"/>
      <c r="J647" s="137"/>
      <c r="K647" s="137"/>
      <c r="L647" s="137"/>
      <c r="M647" s="137"/>
      <c r="N647" s="137"/>
      <c r="O647" s="137"/>
      <c r="P647" s="137"/>
    </row>
    <row r="648" spans="3:16" x14ac:dyDescent="0.25">
      <c r="C648" s="137"/>
      <c r="D648" s="137"/>
      <c r="E648" s="137"/>
      <c r="F648" s="137"/>
      <c r="G648" s="137"/>
      <c r="H648" s="137"/>
      <c r="I648" s="137"/>
      <c r="J648" s="137"/>
      <c r="K648" s="137"/>
      <c r="L648" s="137"/>
      <c r="M648" s="137"/>
      <c r="N648" s="137"/>
      <c r="O648" s="137"/>
      <c r="P648" s="137"/>
    </row>
    <row r="649" spans="3:16" x14ac:dyDescent="0.25">
      <c r="C649" s="137"/>
      <c r="D649" s="137"/>
      <c r="E649" s="137"/>
      <c r="F649" s="137"/>
      <c r="G649" s="137"/>
      <c r="H649" s="137"/>
      <c r="I649" s="137"/>
      <c r="J649" s="137"/>
      <c r="K649" s="137"/>
      <c r="L649" s="137"/>
      <c r="M649" s="137"/>
      <c r="N649" s="137"/>
      <c r="O649" s="137"/>
      <c r="P649" s="137"/>
    </row>
    <row r="650" spans="3:16" x14ac:dyDescent="0.25">
      <c r="C650" s="137"/>
      <c r="D650" s="137"/>
      <c r="E650" s="137"/>
      <c r="F650" s="137"/>
      <c r="G650" s="137"/>
      <c r="H650" s="137"/>
      <c r="I650" s="137"/>
      <c r="J650" s="137"/>
      <c r="K650" s="137"/>
      <c r="L650" s="137"/>
      <c r="M650" s="137"/>
      <c r="N650" s="137"/>
      <c r="O650" s="137"/>
      <c r="P650" s="137"/>
    </row>
    <row r="651" spans="3:16" x14ac:dyDescent="0.25">
      <c r="C651" s="137"/>
      <c r="D651" s="137"/>
      <c r="E651" s="137"/>
      <c r="F651" s="137"/>
      <c r="G651" s="137"/>
      <c r="H651" s="137"/>
      <c r="I651" s="137"/>
      <c r="J651" s="137"/>
      <c r="K651" s="137"/>
      <c r="L651" s="137"/>
      <c r="M651" s="137"/>
      <c r="N651" s="137"/>
      <c r="O651" s="137"/>
      <c r="P651" s="137"/>
    </row>
    <row r="652" spans="3:16" x14ac:dyDescent="0.25">
      <c r="C652" s="137"/>
      <c r="D652" s="137"/>
      <c r="E652" s="137"/>
      <c r="F652" s="137"/>
      <c r="G652" s="137"/>
      <c r="H652" s="137"/>
      <c r="I652" s="137"/>
      <c r="J652" s="137"/>
      <c r="K652" s="137"/>
      <c r="L652" s="137"/>
      <c r="M652" s="137"/>
      <c r="N652" s="137"/>
      <c r="O652" s="137"/>
      <c r="P652" s="137"/>
    </row>
    <row r="653" spans="3:16" x14ac:dyDescent="0.25">
      <c r="C653" s="137"/>
      <c r="D653" s="137"/>
      <c r="E653" s="137"/>
      <c r="F653" s="137"/>
      <c r="G653" s="137"/>
      <c r="H653" s="137"/>
      <c r="I653" s="137"/>
      <c r="J653" s="137"/>
      <c r="K653" s="137"/>
      <c r="L653" s="137"/>
      <c r="M653" s="137"/>
      <c r="N653" s="137"/>
      <c r="O653" s="137"/>
      <c r="P653" s="137"/>
    </row>
    <row r="654" spans="3:16" x14ac:dyDescent="0.25">
      <c r="C654" s="137"/>
      <c r="D654" s="137"/>
      <c r="E654" s="137"/>
      <c r="F654" s="137"/>
      <c r="G654" s="137"/>
      <c r="H654" s="137"/>
      <c r="I654" s="137"/>
      <c r="J654" s="137"/>
      <c r="K654" s="137"/>
      <c r="L654" s="137"/>
      <c r="M654" s="137"/>
      <c r="N654" s="137"/>
      <c r="O654" s="137"/>
      <c r="P654" s="137"/>
    </row>
    <row r="655" spans="3:16" x14ac:dyDescent="0.25">
      <c r="C655" s="137"/>
      <c r="D655" s="137"/>
      <c r="E655" s="137"/>
      <c r="F655" s="137"/>
      <c r="G655" s="137"/>
      <c r="H655" s="137"/>
      <c r="I655" s="137"/>
      <c r="J655" s="137"/>
      <c r="K655" s="137"/>
      <c r="L655" s="137"/>
      <c r="M655" s="137"/>
      <c r="N655" s="137"/>
      <c r="O655" s="137"/>
      <c r="P655" s="137"/>
    </row>
    <row r="656" spans="3:16" x14ac:dyDescent="0.25">
      <c r="C656" s="137"/>
      <c r="D656" s="137"/>
      <c r="E656" s="137"/>
      <c r="F656" s="137"/>
      <c r="G656" s="137"/>
      <c r="H656" s="137"/>
      <c r="I656" s="137"/>
      <c r="J656" s="137"/>
      <c r="K656" s="137"/>
      <c r="L656" s="137"/>
      <c r="M656" s="137"/>
      <c r="N656" s="137"/>
      <c r="O656" s="137"/>
      <c r="P656" s="137"/>
    </row>
    <row r="657" spans="3:16" x14ac:dyDescent="0.25">
      <c r="C657" s="137"/>
      <c r="D657" s="137"/>
      <c r="E657" s="137"/>
      <c r="F657" s="137"/>
      <c r="G657" s="137"/>
      <c r="H657" s="137"/>
      <c r="I657" s="137"/>
      <c r="J657" s="137"/>
      <c r="K657" s="137"/>
      <c r="L657" s="137"/>
      <c r="M657" s="137"/>
      <c r="N657" s="137"/>
      <c r="O657" s="137"/>
      <c r="P657" s="137"/>
    </row>
    <row r="658" spans="3:16" x14ac:dyDescent="0.25">
      <c r="C658" s="137"/>
      <c r="D658" s="137"/>
      <c r="E658" s="137"/>
      <c r="F658" s="137"/>
      <c r="G658" s="137"/>
      <c r="H658" s="137"/>
      <c r="I658" s="137"/>
      <c r="J658" s="137"/>
      <c r="K658" s="137"/>
      <c r="L658" s="137"/>
      <c r="M658" s="137"/>
      <c r="N658" s="137"/>
      <c r="O658" s="137"/>
      <c r="P658" s="137"/>
    </row>
    <row r="659" spans="3:16" x14ac:dyDescent="0.25">
      <c r="C659" s="137"/>
      <c r="D659" s="137"/>
      <c r="E659" s="137"/>
      <c r="F659" s="137"/>
      <c r="G659" s="137"/>
      <c r="H659" s="137"/>
      <c r="I659" s="137"/>
      <c r="J659" s="137"/>
      <c r="K659" s="137"/>
      <c r="L659" s="137"/>
      <c r="M659" s="137"/>
      <c r="N659" s="137"/>
      <c r="O659" s="137"/>
      <c r="P659" s="137"/>
    </row>
    <row r="660" spans="3:16" x14ac:dyDescent="0.25">
      <c r="C660" s="137"/>
      <c r="D660" s="137"/>
      <c r="E660" s="137"/>
      <c r="F660" s="137"/>
      <c r="G660" s="137"/>
      <c r="H660" s="137"/>
      <c r="I660" s="137"/>
      <c r="J660" s="137"/>
      <c r="K660" s="137"/>
      <c r="L660" s="137"/>
      <c r="M660" s="137"/>
      <c r="N660" s="137"/>
      <c r="O660" s="137"/>
      <c r="P660" s="137"/>
    </row>
    <row r="661" spans="3:16" x14ac:dyDescent="0.25">
      <c r="C661" s="137"/>
      <c r="D661" s="137"/>
      <c r="E661" s="137"/>
      <c r="F661" s="137"/>
      <c r="G661" s="137"/>
      <c r="H661" s="137"/>
      <c r="I661" s="137"/>
      <c r="J661" s="137"/>
      <c r="K661" s="137"/>
      <c r="L661" s="137"/>
      <c r="M661" s="137"/>
      <c r="N661" s="137"/>
      <c r="O661" s="137"/>
      <c r="P661" s="137"/>
    </row>
    <row r="662" spans="3:16" x14ac:dyDescent="0.25">
      <c r="C662" s="137"/>
      <c r="D662" s="137"/>
      <c r="E662" s="137"/>
      <c r="F662" s="137"/>
      <c r="G662" s="137"/>
      <c r="H662" s="137"/>
      <c r="I662" s="137"/>
      <c r="J662" s="137"/>
      <c r="K662" s="137"/>
      <c r="L662" s="137"/>
      <c r="M662" s="137"/>
      <c r="N662" s="137"/>
      <c r="O662" s="137"/>
      <c r="P662" s="137"/>
    </row>
    <row r="663" spans="3:16" x14ac:dyDescent="0.25">
      <c r="C663" s="137"/>
      <c r="D663" s="137"/>
      <c r="E663" s="137"/>
      <c r="F663" s="137"/>
      <c r="G663" s="137"/>
      <c r="H663" s="137"/>
      <c r="I663" s="137"/>
      <c r="J663" s="137"/>
      <c r="K663" s="137"/>
      <c r="L663" s="137"/>
      <c r="M663" s="137"/>
      <c r="N663" s="137"/>
      <c r="O663" s="137"/>
      <c r="P663" s="137"/>
    </row>
    <row r="664" spans="3:16" x14ac:dyDescent="0.25">
      <c r="C664" s="137"/>
      <c r="D664" s="137"/>
      <c r="E664" s="137"/>
      <c r="F664" s="137"/>
      <c r="G664" s="137"/>
      <c r="H664" s="137"/>
      <c r="I664" s="137"/>
      <c r="J664" s="137"/>
      <c r="K664" s="137"/>
      <c r="L664" s="137"/>
      <c r="M664" s="137"/>
      <c r="N664" s="137"/>
      <c r="O664" s="137"/>
      <c r="P664" s="137"/>
    </row>
    <row r="665" spans="3:16" x14ac:dyDescent="0.25">
      <c r="C665" s="137"/>
      <c r="D665" s="137"/>
      <c r="E665" s="137"/>
      <c r="F665" s="137"/>
      <c r="G665" s="137"/>
      <c r="H665" s="137"/>
      <c r="I665" s="137"/>
      <c r="J665" s="137"/>
      <c r="K665" s="137"/>
      <c r="L665" s="137"/>
      <c r="M665" s="137"/>
      <c r="N665" s="137"/>
      <c r="O665" s="137"/>
      <c r="P665" s="137"/>
    </row>
    <row r="666" spans="3:16" x14ac:dyDescent="0.25">
      <c r="C666" s="137"/>
      <c r="D666" s="137"/>
      <c r="E666" s="137"/>
      <c r="F666" s="137"/>
      <c r="G666" s="137"/>
      <c r="H666" s="137"/>
      <c r="I666" s="137"/>
      <c r="J666" s="137"/>
      <c r="K666" s="137"/>
      <c r="L666" s="137"/>
      <c r="M666" s="137"/>
      <c r="N666" s="137"/>
      <c r="O666" s="137"/>
      <c r="P666" s="137"/>
    </row>
    <row r="667" spans="3:16" x14ac:dyDescent="0.25">
      <c r="C667" s="137"/>
      <c r="D667" s="137"/>
      <c r="E667" s="137"/>
      <c r="F667" s="137"/>
      <c r="G667" s="137"/>
      <c r="H667" s="137"/>
      <c r="I667" s="137"/>
      <c r="J667" s="137"/>
      <c r="K667" s="137"/>
      <c r="L667" s="137"/>
      <c r="M667" s="137"/>
      <c r="N667" s="137"/>
      <c r="O667" s="137"/>
      <c r="P667" s="137"/>
    </row>
    <row r="668" spans="3:16" x14ac:dyDescent="0.25">
      <c r="C668" s="137"/>
      <c r="D668" s="137"/>
      <c r="E668" s="137"/>
      <c r="F668" s="137"/>
      <c r="G668" s="137"/>
      <c r="H668" s="137"/>
      <c r="I668" s="137"/>
      <c r="J668" s="137"/>
      <c r="K668" s="137"/>
      <c r="L668" s="137"/>
      <c r="M668" s="137"/>
      <c r="N668" s="137"/>
      <c r="O668" s="137"/>
      <c r="P668" s="137"/>
    </row>
    <row r="669" spans="3:16" x14ac:dyDescent="0.25">
      <c r="C669" s="137"/>
      <c r="D669" s="137"/>
      <c r="E669" s="137"/>
      <c r="F669" s="137"/>
      <c r="G669" s="137"/>
      <c r="H669" s="137"/>
      <c r="I669" s="137"/>
      <c r="J669" s="137"/>
      <c r="K669" s="137"/>
      <c r="L669" s="137"/>
      <c r="M669" s="137"/>
      <c r="N669" s="137"/>
      <c r="O669" s="137"/>
      <c r="P669" s="137"/>
    </row>
    <row r="670" spans="3:16" x14ac:dyDescent="0.25">
      <c r="C670" s="137"/>
      <c r="D670" s="137"/>
      <c r="E670" s="137"/>
      <c r="F670" s="137"/>
      <c r="G670" s="137"/>
      <c r="H670" s="137"/>
      <c r="I670" s="137"/>
      <c r="J670" s="137"/>
      <c r="K670" s="137"/>
      <c r="L670" s="137"/>
      <c r="M670" s="137"/>
      <c r="N670" s="137"/>
      <c r="O670" s="137"/>
      <c r="P670" s="137"/>
    </row>
    <row r="671" spans="3:16" x14ac:dyDescent="0.25">
      <c r="C671" s="137"/>
      <c r="D671" s="137"/>
      <c r="E671" s="137"/>
      <c r="F671" s="137"/>
      <c r="G671" s="137"/>
      <c r="H671" s="137"/>
      <c r="I671" s="137"/>
      <c r="J671" s="137"/>
      <c r="K671" s="137"/>
      <c r="L671" s="137"/>
      <c r="M671" s="137"/>
      <c r="N671" s="137"/>
      <c r="O671" s="137"/>
      <c r="P671" s="137"/>
    </row>
    <row r="672" spans="3:16" x14ac:dyDescent="0.25">
      <c r="C672" s="137"/>
      <c r="D672" s="137"/>
      <c r="E672" s="137"/>
      <c r="F672" s="137"/>
      <c r="G672" s="137"/>
      <c r="H672" s="137"/>
      <c r="I672" s="137"/>
      <c r="J672" s="137"/>
      <c r="K672" s="137"/>
      <c r="L672" s="137"/>
      <c r="M672" s="137"/>
      <c r="N672" s="137"/>
      <c r="O672" s="137"/>
      <c r="P672" s="137"/>
    </row>
    <row r="673" spans="3:16" x14ac:dyDescent="0.25">
      <c r="C673" s="137"/>
      <c r="D673" s="137"/>
      <c r="E673" s="137"/>
      <c r="F673" s="137"/>
      <c r="G673" s="137"/>
      <c r="H673" s="137"/>
      <c r="I673" s="137"/>
      <c r="J673" s="137"/>
      <c r="K673" s="137"/>
      <c r="L673" s="137"/>
      <c r="M673" s="137"/>
      <c r="N673" s="137"/>
      <c r="O673" s="137"/>
      <c r="P673" s="137"/>
    </row>
    <row r="674" spans="3:16" x14ac:dyDescent="0.25">
      <c r="C674" s="137"/>
      <c r="D674" s="137"/>
      <c r="E674" s="137"/>
      <c r="F674" s="137"/>
      <c r="G674" s="137"/>
      <c r="H674" s="137"/>
      <c r="I674" s="137"/>
      <c r="J674" s="137"/>
      <c r="K674" s="137"/>
      <c r="L674" s="137"/>
      <c r="M674" s="137"/>
      <c r="N674" s="137"/>
      <c r="O674" s="137"/>
      <c r="P674" s="137"/>
    </row>
    <row r="675" spans="3:16" x14ac:dyDescent="0.25">
      <c r="C675" s="137"/>
      <c r="D675" s="137"/>
      <c r="E675" s="137"/>
      <c r="F675" s="137"/>
      <c r="G675" s="137"/>
      <c r="H675" s="137"/>
      <c r="I675" s="137"/>
      <c r="J675" s="137"/>
      <c r="K675" s="137"/>
      <c r="L675" s="137"/>
      <c r="M675" s="137"/>
      <c r="N675" s="137"/>
      <c r="O675" s="137"/>
      <c r="P675" s="137"/>
    </row>
    <row r="676" spans="3:16" x14ac:dyDescent="0.25">
      <c r="C676" s="137"/>
      <c r="D676" s="137"/>
      <c r="E676" s="137"/>
      <c r="F676" s="137"/>
      <c r="G676" s="137"/>
      <c r="H676" s="137"/>
      <c r="I676" s="137"/>
      <c r="J676" s="137"/>
      <c r="K676" s="137"/>
      <c r="L676" s="137"/>
      <c r="M676" s="137"/>
      <c r="N676" s="137"/>
      <c r="O676" s="137"/>
      <c r="P676" s="137"/>
    </row>
    <row r="677" spans="3:16" x14ac:dyDescent="0.25">
      <c r="C677" s="137"/>
      <c r="D677" s="137"/>
      <c r="E677" s="137"/>
      <c r="F677" s="137"/>
      <c r="G677" s="137"/>
      <c r="H677" s="137"/>
      <c r="I677" s="137"/>
      <c r="J677" s="137"/>
      <c r="K677" s="137"/>
      <c r="L677" s="137"/>
      <c r="M677" s="137"/>
      <c r="N677" s="137"/>
      <c r="O677" s="137"/>
      <c r="P677" s="137"/>
    </row>
    <row r="678" spans="3:16" x14ac:dyDescent="0.25">
      <c r="C678" s="137"/>
      <c r="D678" s="137"/>
      <c r="E678" s="137"/>
      <c r="F678" s="137"/>
      <c r="G678" s="137"/>
      <c r="H678" s="137"/>
      <c r="I678" s="137"/>
      <c r="J678" s="137"/>
      <c r="K678" s="137"/>
      <c r="L678" s="137"/>
      <c r="M678" s="137"/>
      <c r="N678" s="137"/>
      <c r="O678" s="137"/>
      <c r="P678" s="137"/>
    </row>
    <row r="679" spans="3:16" x14ac:dyDescent="0.25">
      <c r="C679" s="137"/>
      <c r="D679" s="137"/>
      <c r="E679" s="137"/>
      <c r="F679" s="137"/>
      <c r="G679" s="137"/>
      <c r="H679" s="137"/>
      <c r="I679" s="137"/>
      <c r="J679" s="137"/>
      <c r="K679" s="137"/>
      <c r="L679" s="137"/>
      <c r="M679" s="137"/>
      <c r="N679" s="137"/>
      <c r="O679" s="137"/>
      <c r="P679" s="137"/>
    </row>
    <row r="680" spans="3:16" x14ac:dyDescent="0.25">
      <c r="C680" s="137"/>
      <c r="D680" s="137"/>
      <c r="E680" s="137"/>
      <c r="F680" s="137"/>
      <c r="G680" s="137"/>
      <c r="H680" s="137"/>
      <c r="I680" s="137"/>
      <c r="J680" s="137"/>
      <c r="K680" s="137"/>
      <c r="L680" s="137"/>
      <c r="M680" s="137"/>
      <c r="N680" s="137"/>
      <c r="O680" s="137"/>
      <c r="P680" s="137"/>
    </row>
    <row r="681" spans="3:16" x14ac:dyDescent="0.25">
      <c r="C681" s="137"/>
      <c r="D681" s="137"/>
      <c r="E681" s="137"/>
      <c r="F681" s="137"/>
      <c r="G681" s="137"/>
      <c r="H681" s="137"/>
      <c r="I681" s="137"/>
      <c r="J681" s="137"/>
      <c r="K681" s="137"/>
      <c r="L681" s="137"/>
      <c r="M681" s="137"/>
      <c r="N681" s="137"/>
      <c r="O681" s="137"/>
      <c r="P681" s="137"/>
    </row>
    <row r="682" spans="3:16" x14ac:dyDescent="0.25">
      <c r="C682" s="137"/>
      <c r="D682" s="137"/>
      <c r="E682" s="137"/>
      <c r="F682" s="137"/>
      <c r="G682" s="137"/>
      <c r="H682" s="137"/>
      <c r="I682" s="137"/>
      <c r="J682" s="137"/>
      <c r="K682" s="137"/>
      <c r="L682" s="137"/>
      <c r="M682" s="137"/>
      <c r="N682" s="137"/>
      <c r="O682" s="137"/>
      <c r="P682" s="137"/>
    </row>
    <row r="683" spans="3:16" x14ac:dyDescent="0.25">
      <c r="C683" s="137"/>
      <c r="D683" s="137"/>
      <c r="E683" s="137"/>
      <c r="F683" s="137"/>
      <c r="G683" s="137"/>
      <c r="H683" s="137"/>
      <c r="I683" s="137"/>
      <c r="J683" s="137"/>
      <c r="K683" s="137"/>
      <c r="L683" s="137"/>
      <c r="M683" s="137"/>
      <c r="N683" s="137"/>
      <c r="O683" s="137"/>
      <c r="P683" s="137"/>
    </row>
    <row r="684" spans="3:16" x14ac:dyDescent="0.25">
      <c r="C684" s="137"/>
      <c r="D684" s="137"/>
      <c r="E684" s="137"/>
      <c r="F684" s="137"/>
      <c r="G684" s="137"/>
      <c r="H684" s="137"/>
      <c r="I684" s="137"/>
      <c r="J684" s="137"/>
      <c r="K684" s="137"/>
      <c r="L684" s="137"/>
      <c r="M684" s="137"/>
      <c r="N684" s="137"/>
      <c r="O684" s="137"/>
      <c r="P684" s="137"/>
    </row>
    <row r="685" spans="3:16" x14ac:dyDescent="0.25">
      <c r="C685" s="137"/>
      <c r="D685" s="137"/>
      <c r="E685" s="137"/>
      <c r="F685" s="137"/>
      <c r="G685" s="137"/>
      <c r="H685" s="137"/>
      <c r="I685" s="137"/>
      <c r="J685" s="137"/>
      <c r="K685" s="137"/>
      <c r="L685" s="137"/>
      <c r="M685" s="137"/>
      <c r="N685" s="137"/>
      <c r="O685" s="137"/>
      <c r="P685" s="137"/>
    </row>
    <row r="686" spans="3:16" x14ac:dyDescent="0.25">
      <c r="C686" s="137"/>
      <c r="D686" s="137"/>
      <c r="E686" s="137"/>
      <c r="F686" s="137"/>
      <c r="G686" s="137"/>
      <c r="H686" s="137"/>
      <c r="I686" s="137"/>
      <c r="J686" s="137"/>
      <c r="K686" s="137"/>
      <c r="L686" s="137"/>
      <c r="M686" s="137"/>
      <c r="N686" s="137"/>
      <c r="O686" s="137"/>
      <c r="P686" s="137"/>
    </row>
    <row r="687" spans="3:16" x14ac:dyDescent="0.25">
      <c r="C687" s="137"/>
      <c r="D687" s="137"/>
      <c r="E687" s="137"/>
      <c r="F687" s="137"/>
      <c r="G687" s="137"/>
      <c r="H687" s="137"/>
      <c r="I687" s="137"/>
      <c r="J687" s="137"/>
      <c r="K687" s="137"/>
      <c r="L687" s="137"/>
      <c r="M687" s="137"/>
      <c r="N687" s="137"/>
      <c r="O687" s="137"/>
      <c r="P687" s="137"/>
    </row>
    <row r="688" spans="3:16" x14ac:dyDescent="0.25">
      <c r="C688" s="137"/>
      <c r="D688" s="137"/>
      <c r="E688" s="137"/>
      <c r="F688" s="137"/>
      <c r="G688" s="137"/>
      <c r="H688" s="137"/>
      <c r="I688" s="137"/>
      <c r="J688" s="137"/>
      <c r="K688" s="137"/>
      <c r="L688" s="137"/>
      <c r="M688" s="137"/>
      <c r="N688" s="137"/>
      <c r="O688" s="137"/>
      <c r="P688" s="137"/>
    </row>
    <row r="689" spans="3:16" x14ac:dyDescent="0.25">
      <c r="C689" s="137"/>
      <c r="D689" s="137"/>
      <c r="E689" s="137"/>
      <c r="F689" s="137"/>
      <c r="G689" s="137"/>
      <c r="H689" s="137"/>
      <c r="I689" s="137"/>
      <c r="J689" s="137"/>
      <c r="K689" s="137"/>
      <c r="L689" s="137"/>
      <c r="M689" s="137"/>
      <c r="N689" s="137"/>
      <c r="O689" s="137"/>
      <c r="P689" s="137"/>
    </row>
    <row r="690" spans="3:16" x14ac:dyDescent="0.25">
      <c r="C690" s="137"/>
      <c r="D690" s="137"/>
      <c r="E690" s="137"/>
      <c r="F690" s="137"/>
      <c r="G690" s="137"/>
      <c r="H690" s="137"/>
      <c r="I690" s="137"/>
      <c r="J690" s="137"/>
      <c r="K690" s="137"/>
      <c r="L690" s="137"/>
      <c r="M690" s="137"/>
      <c r="N690" s="137"/>
      <c r="O690" s="137"/>
      <c r="P690" s="137"/>
    </row>
    <row r="691" spans="3:16" x14ac:dyDescent="0.25">
      <c r="C691" s="137"/>
      <c r="D691" s="137"/>
      <c r="E691" s="137"/>
      <c r="F691" s="137"/>
      <c r="G691" s="137"/>
      <c r="H691" s="137"/>
      <c r="I691" s="137"/>
      <c r="J691" s="137"/>
      <c r="K691" s="137"/>
      <c r="L691" s="137"/>
      <c r="M691" s="137"/>
      <c r="N691" s="137"/>
      <c r="O691" s="137"/>
      <c r="P691" s="137"/>
    </row>
    <row r="692" spans="3:16" x14ac:dyDescent="0.25">
      <c r="C692" s="137"/>
      <c r="D692" s="137"/>
      <c r="E692" s="137"/>
      <c r="F692" s="137"/>
      <c r="G692" s="137"/>
      <c r="H692" s="137"/>
      <c r="I692" s="137"/>
      <c r="J692" s="137"/>
      <c r="K692" s="137"/>
      <c r="L692" s="137"/>
      <c r="M692" s="137"/>
      <c r="N692" s="137"/>
      <c r="O692" s="137"/>
      <c r="P692" s="137"/>
    </row>
    <row r="693" spans="3:16" x14ac:dyDescent="0.25">
      <c r="C693" s="137"/>
      <c r="D693" s="137"/>
      <c r="E693" s="137"/>
      <c r="F693" s="137"/>
      <c r="G693" s="137"/>
      <c r="H693" s="137"/>
      <c r="I693" s="137"/>
      <c r="J693" s="137"/>
      <c r="K693" s="137"/>
      <c r="L693" s="137"/>
      <c r="M693" s="137"/>
      <c r="N693" s="137"/>
      <c r="O693" s="137"/>
      <c r="P693" s="137"/>
    </row>
    <row r="694" spans="3:16" x14ac:dyDescent="0.25">
      <c r="C694" s="137"/>
      <c r="D694" s="137"/>
      <c r="E694" s="137"/>
      <c r="F694" s="137"/>
      <c r="G694" s="137"/>
      <c r="H694" s="137"/>
      <c r="I694" s="137"/>
      <c r="J694" s="137"/>
      <c r="K694" s="137"/>
      <c r="L694" s="137"/>
      <c r="M694" s="137"/>
      <c r="N694" s="137"/>
      <c r="O694" s="137"/>
      <c r="P694" s="137"/>
    </row>
    <row r="695" spans="3:16" x14ac:dyDescent="0.25">
      <c r="C695" s="137"/>
      <c r="D695" s="137"/>
      <c r="E695" s="137"/>
      <c r="F695" s="137"/>
      <c r="G695" s="137"/>
      <c r="H695" s="137"/>
      <c r="I695" s="137"/>
      <c r="J695" s="137"/>
      <c r="K695" s="137"/>
      <c r="L695" s="137"/>
      <c r="M695" s="137"/>
      <c r="N695" s="137"/>
      <c r="O695" s="137"/>
      <c r="P695" s="137"/>
    </row>
    <row r="696" spans="3:16" x14ac:dyDescent="0.25">
      <c r="C696" s="137"/>
      <c r="D696" s="137"/>
      <c r="E696" s="137"/>
      <c r="F696" s="137"/>
      <c r="G696" s="137"/>
      <c r="H696" s="137"/>
      <c r="I696" s="137"/>
      <c r="J696" s="137"/>
      <c r="K696" s="137"/>
      <c r="L696" s="137"/>
      <c r="M696" s="137"/>
      <c r="N696" s="137"/>
      <c r="O696" s="137"/>
      <c r="P696" s="137"/>
    </row>
    <row r="697" spans="3:16" x14ac:dyDescent="0.25">
      <c r="C697" s="137"/>
      <c r="D697" s="137"/>
      <c r="E697" s="137"/>
      <c r="F697" s="137"/>
      <c r="G697" s="137"/>
      <c r="H697" s="137"/>
      <c r="I697" s="137"/>
      <c r="J697" s="137"/>
      <c r="K697" s="137"/>
      <c r="L697" s="137"/>
      <c r="M697" s="137"/>
      <c r="N697" s="137"/>
      <c r="O697" s="137"/>
      <c r="P697" s="137"/>
    </row>
    <row r="698" spans="3:16" x14ac:dyDescent="0.25">
      <c r="C698" s="137"/>
      <c r="D698" s="137"/>
      <c r="E698" s="137"/>
      <c r="F698" s="137"/>
      <c r="G698" s="137"/>
      <c r="H698" s="137"/>
      <c r="I698" s="137"/>
      <c r="J698" s="137"/>
      <c r="K698" s="137"/>
      <c r="L698" s="137"/>
      <c r="M698" s="137"/>
      <c r="N698" s="137"/>
      <c r="O698" s="137"/>
      <c r="P698" s="137"/>
    </row>
    <row r="699" spans="3:16" x14ac:dyDescent="0.25">
      <c r="C699" s="137"/>
      <c r="D699" s="137"/>
      <c r="E699" s="137"/>
      <c r="F699" s="137"/>
      <c r="G699" s="137"/>
      <c r="H699" s="137"/>
      <c r="I699" s="137"/>
      <c r="J699" s="137"/>
      <c r="K699" s="137"/>
      <c r="L699" s="137"/>
      <c r="M699" s="137"/>
      <c r="N699" s="137"/>
      <c r="O699" s="137"/>
      <c r="P699" s="137"/>
    </row>
    <row r="700" spans="3:16" x14ac:dyDescent="0.25">
      <c r="C700" s="137"/>
      <c r="D700" s="137"/>
      <c r="E700" s="137"/>
      <c r="F700" s="137"/>
      <c r="G700" s="137"/>
      <c r="H700" s="137"/>
      <c r="I700" s="137"/>
      <c r="J700" s="137"/>
      <c r="K700" s="137"/>
      <c r="L700" s="137"/>
      <c r="M700" s="137"/>
      <c r="N700" s="137"/>
      <c r="O700" s="137"/>
      <c r="P700" s="137"/>
    </row>
    <row r="701" spans="3:16" x14ac:dyDescent="0.25">
      <c r="C701" s="137"/>
      <c r="D701" s="137"/>
      <c r="E701" s="137"/>
      <c r="F701" s="137"/>
      <c r="G701" s="137"/>
      <c r="H701" s="137"/>
      <c r="I701" s="137"/>
      <c r="J701" s="137"/>
      <c r="K701" s="137"/>
      <c r="L701" s="137"/>
      <c r="M701" s="137"/>
      <c r="N701" s="137"/>
      <c r="O701" s="137"/>
      <c r="P701" s="137"/>
    </row>
    <row r="702" spans="3:16" x14ac:dyDescent="0.25">
      <c r="C702" s="137"/>
      <c r="D702" s="137"/>
      <c r="E702" s="137"/>
      <c r="F702" s="137"/>
      <c r="G702" s="137"/>
      <c r="H702" s="137"/>
      <c r="I702" s="137"/>
      <c r="J702" s="137"/>
      <c r="K702" s="137"/>
      <c r="L702" s="137"/>
      <c r="M702" s="137"/>
      <c r="N702" s="137"/>
      <c r="O702" s="137"/>
      <c r="P702" s="137"/>
    </row>
    <row r="703" spans="3:16" x14ac:dyDescent="0.25">
      <c r="C703" s="137"/>
      <c r="D703" s="137"/>
      <c r="E703" s="137"/>
      <c r="F703" s="137"/>
      <c r="G703" s="137"/>
      <c r="H703" s="137"/>
      <c r="I703" s="137"/>
      <c r="J703" s="137"/>
      <c r="K703" s="137"/>
      <c r="L703" s="137"/>
      <c r="M703" s="137"/>
      <c r="N703" s="137"/>
      <c r="O703" s="137"/>
      <c r="P703" s="137"/>
    </row>
    <row r="704" spans="3:16" x14ac:dyDescent="0.25">
      <c r="C704" s="137"/>
      <c r="D704" s="137"/>
      <c r="E704" s="137"/>
      <c r="F704" s="137"/>
      <c r="G704" s="137"/>
      <c r="H704" s="137"/>
      <c r="I704" s="137"/>
      <c r="J704" s="137"/>
      <c r="K704" s="137"/>
      <c r="L704" s="137"/>
      <c r="M704" s="137"/>
      <c r="N704" s="137"/>
      <c r="O704" s="137"/>
      <c r="P704" s="137"/>
    </row>
    <row r="705" spans="3:16" x14ac:dyDescent="0.25">
      <c r="C705" s="137"/>
      <c r="D705" s="137"/>
      <c r="E705" s="137"/>
      <c r="F705" s="137"/>
      <c r="G705" s="137"/>
      <c r="H705" s="137"/>
      <c r="I705" s="137"/>
      <c r="J705" s="137"/>
      <c r="K705" s="137"/>
      <c r="L705" s="137"/>
      <c r="M705" s="137"/>
      <c r="N705" s="137"/>
      <c r="O705" s="137"/>
      <c r="P705" s="137"/>
    </row>
    <row r="706" spans="3:16" x14ac:dyDescent="0.25">
      <c r="C706" s="137"/>
      <c r="D706" s="137"/>
      <c r="E706" s="137"/>
      <c r="F706" s="137"/>
      <c r="G706" s="137"/>
      <c r="H706" s="137"/>
      <c r="I706" s="137"/>
      <c r="J706" s="137"/>
      <c r="K706" s="137"/>
      <c r="L706" s="137"/>
      <c r="M706" s="137"/>
      <c r="N706" s="137"/>
      <c r="O706" s="137"/>
      <c r="P706" s="137"/>
    </row>
    <row r="707" spans="3:16" x14ac:dyDescent="0.25">
      <c r="C707" s="137"/>
      <c r="D707" s="137"/>
      <c r="E707" s="137"/>
      <c r="F707" s="137"/>
      <c r="G707" s="137"/>
      <c r="H707" s="137"/>
      <c r="I707" s="137"/>
      <c r="J707" s="137"/>
      <c r="K707" s="137"/>
      <c r="L707" s="137"/>
      <c r="M707" s="137"/>
      <c r="N707" s="137"/>
      <c r="O707" s="137"/>
      <c r="P707" s="137"/>
    </row>
    <row r="708" spans="3:16" x14ac:dyDescent="0.25">
      <c r="C708" s="137"/>
      <c r="D708" s="137"/>
      <c r="E708" s="137"/>
      <c r="F708" s="137"/>
      <c r="G708" s="137"/>
      <c r="H708" s="137"/>
      <c r="I708" s="137"/>
      <c r="J708" s="137"/>
      <c r="K708" s="137"/>
      <c r="L708" s="137"/>
      <c r="M708" s="137"/>
      <c r="N708" s="137"/>
      <c r="O708" s="137"/>
      <c r="P708" s="137"/>
    </row>
    <row r="709" spans="3:16" x14ac:dyDescent="0.25">
      <c r="C709" s="137"/>
      <c r="D709" s="137"/>
      <c r="E709" s="137"/>
      <c r="F709" s="137"/>
      <c r="G709" s="137"/>
      <c r="H709" s="137"/>
      <c r="I709" s="137"/>
      <c r="J709" s="137"/>
      <c r="K709" s="137"/>
      <c r="L709" s="137"/>
      <c r="M709" s="137"/>
      <c r="N709" s="137"/>
      <c r="O709" s="137"/>
      <c r="P709" s="137"/>
    </row>
    <row r="710" spans="3:16" x14ac:dyDescent="0.25">
      <c r="C710" s="137"/>
      <c r="D710" s="137"/>
      <c r="E710" s="137"/>
      <c r="F710" s="137"/>
      <c r="G710" s="137"/>
      <c r="H710" s="137"/>
      <c r="I710" s="137"/>
      <c r="J710" s="137"/>
      <c r="K710" s="137"/>
      <c r="L710" s="137"/>
      <c r="M710" s="137"/>
      <c r="N710" s="137"/>
      <c r="O710" s="137"/>
      <c r="P710" s="137"/>
    </row>
    <row r="711" spans="3:16" x14ac:dyDescent="0.25">
      <c r="C711" s="137"/>
      <c r="D711" s="137"/>
      <c r="E711" s="137"/>
      <c r="F711" s="137"/>
      <c r="G711" s="137"/>
      <c r="H711" s="137"/>
      <c r="I711" s="137"/>
      <c r="J711" s="137"/>
      <c r="K711" s="137"/>
      <c r="L711" s="137"/>
      <c r="M711" s="137"/>
      <c r="N711" s="137"/>
      <c r="O711" s="137"/>
      <c r="P711" s="137"/>
    </row>
    <row r="712" spans="3:16" x14ac:dyDescent="0.25">
      <c r="C712" s="137"/>
      <c r="D712" s="137"/>
      <c r="E712" s="137"/>
      <c r="F712" s="137"/>
      <c r="G712" s="137"/>
      <c r="H712" s="137"/>
      <c r="I712" s="137"/>
      <c r="J712" s="137"/>
      <c r="K712" s="137"/>
      <c r="L712" s="137"/>
      <c r="M712" s="137"/>
      <c r="N712" s="137"/>
      <c r="O712" s="137"/>
      <c r="P712" s="137"/>
    </row>
    <row r="713" spans="3:16" x14ac:dyDescent="0.25">
      <c r="C713" s="137"/>
      <c r="D713" s="137"/>
      <c r="E713" s="137"/>
      <c r="F713" s="137"/>
      <c r="G713" s="137"/>
      <c r="H713" s="137"/>
      <c r="I713" s="137"/>
      <c r="J713" s="137"/>
      <c r="K713" s="137"/>
      <c r="L713" s="137"/>
      <c r="M713" s="137"/>
      <c r="N713" s="137"/>
      <c r="O713" s="137"/>
      <c r="P713" s="137"/>
    </row>
    <row r="714" spans="3:16" x14ac:dyDescent="0.25">
      <c r="C714" s="137"/>
      <c r="D714" s="137"/>
      <c r="E714" s="137"/>
      <c r="F714" s="137"/>
      <c r="G714" s="137"/>
      <c r="H714" s="137"/>
      <c r="I714" s="137"/>
      <c r="J714" s="137"/>
      <c r="K714" s="137"/>
      <c r="L714" s="137"/>
      <c r="M714" s="137"/>
      <c r="N714" s="137"/>
      <c r="O714" s="137"/>
      <c r="P714" s="137"/>
    </row>
    <row r="715" spans="3:16" x14ac:dyDescent="0.25">
      <c r="C715" s="137"/>
      <c r="D715" s="137"/>
      <c r="E715" s="137"/>
      <c r="F715" s="137"/>
      <c r="G715" s="137"/>
      <c r="H715" s="137"/>
      <c r="I715" s="137"/>
      <c r="J715" s="137"/>
      <c r="K715" s="137"/>
      <c r="L715" s="137"/>
      <c r="M715" s="137"/>
      <c r="N715" s="137"/>
      <c r="O715" s="137"/>
      <c r="P715" s="137"/>
    </row>
    <row r="716" spans="3:16" x14ac:dyDescent="0.25">
      <c r="C716" s="137"/>
      <c r="D716" s="137"/>
      <c r="E716" s="137"/>
      <c r="F716" s="137"/>
      <c r="G716" s="137"/>
      <c r="H716" s="137"/>
      <c r="I716" s="137"/>
      <c r="J716" s="137"/>
      <c r="K716" s="137"/>
      <c r="L716" s="137"/>
      <c r="M716" s="137"/>
      <c r="N716" s="137"/>
      <c r="O716" s="137"/>
      <c r="P716" s="137"/>
    </row>
    <row r="717" spans="3:16" x14ac:dyDescent="0.25">
      <c r="C717" s="137"/>
      <c r="D717" s="137"/>
      <c r="E717" s="137"/>
      <c r="F717" s="137"/>
      <c r="G717" s="137"/>
      <c r="H717" s="137"/>
      <c r="I717" s="137"/>
      <c r="J717" s="137"/>
      <c r="K717" s="137"/>
      <c r="L717" s="137"/>
      <c r="M717" s="137"/>
      <c r="N717" s="137"/>
      <c r="O717" s="137"/>
      <c r="P717" s="137"/>
    </row>
    <row r="718" spans="3:16" x14ac:dyDescent="0.25">
      <c r="C718" s="137"/>
      <c r="D718" s="137"/>
      <c r="E718" s="137"/>
      <c r="F718" s="137"/>
      <c r="G718" s="137"/>
      <c r="H718" s="137"/>
      <c r="I718" s="137"/>
      <c r="J718" s="137"/>
      <c r="K718" s="137"/>
      <c r="L718" s="137"/>
      <c r="M718" s="137"/>
      <c r="N718" s="137"/>
      <c r="O718" s="137"/>
      <c r="P718" s="137"/>
    </row>
    <row r="719" spans="3:16" x14ac:dyDescent="0.25">
      <c r="C719" s="137"/>
      <c r="D719" s="137"/>
      <c r="E719" s="137"/>
      <c r="F719" s="137"/>
      <c r="G719" s="137"/>
      <c r="H719" s="137"/>
      <c r="I719" s="137"/>
      <c r="J719" s="137"/>
      <c r="K719" s="137"/>
      <c r="L719" s="137"/>
      <c r="M719" s="137"/>
      <c r="N719" s="137"/>
      <c r="O719" s="137"/>
      <c r="P719" s="137"/>
    </row>
    <row r="720" spans="3:16" x14ac:dyDescent="0.25">
      <c r="C720" s="137"/>
      <c r="D720" s="137"/>
      <c r="E720" s="137"/>
      <c r="F720" s="137"/>
      <c r="G720" s="137"/>
      <c r="H720" s="137"/>
      <c r="I720" s="137"/>
      <c r="J720" s="137"/>
      <c r="K720" s="137"/>
      <c r="L720" s="137"/>
      <c r="M720" s="137"/>
      <c r="N720" s="137"/>
      <c r="O720" s="137"/>
      <c r="P720" s="137"/>
    </row>
    <row r="721" spans="3:16" x14ac:dyDescent="0.25">
      <c r="C721" s="137"/>
      <c r="D721" s="137"/>
      <c r="E721" s="137"/>
      <c r="F721" s="137"/>
      <c r="G721" s="137"/>
      <c r="H721" s="137"/>
      <c r="I721" s="137"/>
      <c r="J721" s="137"/>
      <c r="K721" s="137"/>
      <c r="L721" s="137"/>
      <c r="M721" s="137"/>
      <c r="N721" s="137"/>
      <c r="O721" s="137"/>
      <c r="P721" s="137"/>
    </row>
    <row r="722" spans="3:16" x14ac:dyDescent="0.25">
      <c r="C722" s="137"/>
      <c r="D722" s="137"/>
      <c r="E722" s="137"/>
      <c r="F722" s="137"/>
      <c r="G722" s="137"/>
      <c r="H722" s="137"/>
      <c r="I722" s="137"/>
      <c r="J722" s="137"/>
      <c r="K722" s="137"/>
      <c r="L722" s="137"/>
      <c r="M722" s="137"/>
      <c r="N722" s="137"/>
      <c r="O722" s="137"/>
      <c r="P722" s="137"/>
    </row>
    <row r="723" spans="3:16" x14ac:dyDescent="0.25">
      <c r="C723" s="137"/>
      <c r="D723" s="137"/>
      <c r="E723" s="137"/>
      <c r="F723" s="137"/>
      <c r="G723" s="137"/>
      <c r="H723" s="137"/>
      <c r="I723" s="137"/>
      <c r="J723" s="137"/>
      <c r="K723" s="137"/>
      <c r="L723" s="137"/>
      <c r="M723" s="137"/>
      <c r="N723" s="137"/>
      <c r="O723" s="137"/>
      <c r="P723" s="137"/>
    </row>
    <row r="724" spans="3:16" x14ac:dyDescent="0.25">
      <c r="C724" s="137"/>
      <c r="D724" s="137"/>
      <c r="E724" s="137"/>
      <c r="F724" s="137"/>
      <c r="G724" s="137"/>
      <c r="H724" s="137"/>
      <c r="I724" s="137"/>
      <c r="J724" s="137"/>
      <c r="K724" s="137"/>
      <c r="L724" s="137"/>
      <c r="M724" s="137"/>
      <c r="N724" s="137"/>
      <c r="O724" s="137"/>
      <c r="P724" s="137"/>
    </row>
    <row r="725" spans="3:16" x14ac:dyDescent="0.25">
      <c r="C725" s="137"/>
      <c r="D725" s="137"/>
      <c r="E725" s="137"/>
      <c r="F725" s="137"/>
      <c r="G725" s="137"/>
      <c r="H725" s="137"/>
      <c r="I725" s="137"/>
      <c r="J725" s="137"/>
      <c r="K725" s="137"/>
      <c r="L725" s="137"/>
      <c r="M725" s="137"/>
      <c r="N725" s="137"/>
      <c r="O725" s="137"/>
      <c r="P725" s="137"/>
    </row>
    <row r="726" spans="3:16" x14ac:dyDescent="0.25">
      <c r="C726" s="137"/>
      <c r="D726" s="137"/>
      <c r="E726" s="137"/>
      <c r="F726" s="137"/>
      <c r="G726" s="137"/>
      <c r="H726" s="137"/>
      <c r="I726" s="137"/>
      <c r="J726" s="137"/>
      <c r="K726" s="137"/>
      <c r="L726" s="137"/>
      <c r="M726" s="137"/>
      <c r="N726" s="137"/>
      <c r="O726" s="137"/>
      <c r="P726" s="137"/>
    </row>
    <row r="727" spans="3:16" x14ac:dyDescent="0.25">
      <c r="C727" s="137"/>
      <c r="D727" s="137"/>
      <c r="E727" s="137"/>
      <c r="F727" s="137"/>
      <c r="G727" s="137"/>
      <c r="H727" s="137"/>
      <c r="I727" s="137"/>
      <c r="J727" s="137"/>
      <c r="K727" s="137"/>
      <c r="L727" s="137"/>
      <c r="M727" s="137"/>
      <c r="N727" s="137"/>
      <c r="O727" s="137"/>
      <c r="P727" s="137"/>
    </row>
    <row r="728" spans="3:16" x14ac:dyDescent="0.25">
      <c r="C728" s="137"/>
      <c r="D728" s="137"/>
      <c r="E728" s="137"/>
      <c r="F728" s="137"/>
      <c r="G728" s="137"/>
      <c r="H728" s="137"/>
      <c r="I728" s="137"/>
      <c r="J728" s="137"/>
      <c r="K728" s="137"/>
      <c r="L728" s="137"/>
      <c r="M728" s="137"/>
      <c r="N728" s="137"/>
      <c r="O728" s="137"/>
      <c r="P728" s="137"/>
    </row>
    <row r="729" spans="3:16" x14ac:dyDescent="0.25">
      <c r="C729" s="137"/>
      <c r="D729" s="137"/>
      <c r="E729" s="137"/>
      <c r="F729" s="137"/>
      <c r="G729" s="137"/>
      <c r="H729" s="137"/>
      <c r="I729" s="137"/>
      <c r="J729" s="137"/>
      <c r="K729" s="137"/>
      <c r="L729" s="137"/>
      <c r="M729" s="137"/>
      <c r="N729" s="137"/>
      <c r="O729" s="137"/>
      <c r="P729" s="137"/>
    </row>
    <row r="730" spans="3:16" x14ac:dyDescent="0.25">
      <c r="C730" s="137"/>
      <c r="D730" s="137"/>
      <c r="E730" s="137"/>
      <c r="F730" s="137"/>
      <c r="G730" s="137"/>
      <c r="H730" s="137"/>
      <c r="I730" s="137"/>
      <c r="J730" s="137"/>
      <c r="K730" s="137"/>
      <c r="L730" s="137"/>
      <c r="M730" s="137"/>
      <c r="N730" s="137"/>
      <c r="O730" s="137"/>
      <c r="P730" s="137"/>
    </row>
    <row r="731" spans="3:16" x14ac:dyDescent="0.25">
      <c r="C731" s="137"/>
      <c r="D731" s="137"/>
      <c r="E731" s="137"/>
      <c r="F731" s="137"/>
      <c r="G731" s="137"/>
      <c r="H731" s="137"/>
      <c r="I731" s="137"/>
      <c r="J731" s="137"/>
      <c r="K731" s="137"/>
      <c r="L731" s="137"/>
      <c r="M731" s="137"/>
      <c r="N731" s="137"/>
      <c r="O731" s="137"/>
      <c r="P731" s="137"/>
    </row>
    <row r="732" spans="3:16" x14ac:dyDescent="0.25">
      <c r="C732" s="137"/>
      <c r="D732" s="137"/>
      <c r="E732" s="137"/>
      <c r="F732" s="137"/>
      <c r="G732" s="137"/>
      <c r="H732" s="137"/>
      <c r="I732" s="137"/>
      <c r="J732" s="137"/>
      <c r="K732" s="137"/>
      <c r="L732" s="137"/>
      <c r="M732" s="137"/>
      <c r="N732" s="137"/>
      <c r="O732" s="137"/>
      <c r="P732" s="137"/>
    </row>
    <row r="733" spans="3:16" x14ac:dyDescent="0.25">
      <c r="C733" s="137"/>
      <c r="D733" s="137"/>
      <c r="E733" s="137"/>
      <c r="F733" s="137"/>
      <c r="G733" s="137"/>
      <c r="H733" s="137"/>
      <c r="I733" s="137"/>
      <c r="J733" s="137"/>
      <c r="K733" s="137"/>
      <c r="L733" s="137"/>
      <c r="M733" s="137"/>
      <c r="N733" s="137"/>
      <c r="O733" s="137"/>
      <c r="P733" s="137"/>
    </row>
    <row r="734" spans="3:16" x14ac:dyDescent="0.25">
      <c r="C734" s="137"/>
      <c r="D734" s="137"/>
      <c r="E734" s="137"/>
      <c r="F734" s="137"/>
      <c r="G734" s="137"/>
      <c r="H734" s="137"/>
      <c r="I734" s="137"/>
      <c r="J734" s="137"/>
      <c r="K734" s="137"/>
      <c r="L734" s="137"/>
      <c r="M734" s="137"/>
      <c r="N734" s="137"/>
      <c r="O734" s="137"/>
      <c r="P734" s="137"/>
    </row>
    <row r="735" spans="3:16" x14ac:dyDescent="0.25">
      <c r="C735" s="137"/>
      <c r="D735" s="137"/>
      <c r="E735" s="137"/>
      <c r="F735" s="137"/>
      <c r="G735" s="137"/>
      <c r="H735" s="137"/>
      <c r="I735" s="137"/>
      <c r="J735" s="137"/>
      <c r="K735" s="137"/>
      <c r="L735" s="137"/>
      <c r="M735" s="137"/>
      <c r="N735" s="137"/>
      <c r="O735" s="137"/>
      <c r="P735" s="137"/>
    </row>
    <row r="736" spans="3:16" x14ac:dyDescent="0.25">
      <c r="C736" s="137"/>
      <c r="D736" s="137"/>
      <c r="E736" s="137"/>
      <c r="F736" s="137"/>
      <c r="G736" s="137"/>
      <c r="H736" s="137"/>
      <c r="I736" s="137"/>
      <c r="J736" s="137"/>
      <c r="K736" s="137"/>
      <c r="L736" s="137"/>
      <c r="M736" s="137"/>
      <c r="N736" s="137"/>
      <c r="O736" s="137"/>
      <c r="P736" s="137"/>
    </row>
    <row r="737" spans="3:16" x14ac:dyDescent="0.25">
      <c r="C737" s="137"/>
      <c r="D737" s="137"/>
      <c r="E737" s="137"/>
      <c r="F737" s="137"/>
      <c r="G737" s="137"/>
      <c r="H737" s="137"/>
      <c r="I737" s="137"/>
      <c r="J737" s="137"/>
      <c r="K737" s="137"/>
      <c r="L737" s="137"/>
      <c r="M737" s="137"/>
      <c r="N737" s="137"/>
      <c r="O737" s="137"/>
      <c r="P737" s="137"/>
    </row>
    <row r="738" spans="3:16" x14ac:dyDescent="0.25">
      <c r="C738" s="137"/>
      <c r="D738" s="137"/>
      <c r="E738" s="137"/>
      <c r="F738" s="137"/>
      <c r="G738" s="137"/>
      <c r="H738" s="137"/>
      <c r="I738" s="137"/>
      <c r="J738" s="137"/>
      <c r="K738" s="137"/>
      <c r="L738" s="137"/>
      <c r="M738" s="137"/>
      <c r="N738" s="137"/>
      <c r="O738" s="137"/>
      <c r="P738" s="137"/>
    </row>
    <row r="739" spans="3:16" x14ac:dyDescent="0.25">
      <c r="C739" s="137"/>
      <c r="D739" s="137"/>
      <c r="E739" s="137"/>
      <c r="F739" s="137"/>
      <c r="G739" s="137"/>
      <c r="H739" s="137"/>
      <c r="I739" s="137"/>
      <c r="J739" s="137"/>
      <c r="K739" s="137"/>
      <c r="L739" s="137"/>
      <c r="M739" s="137"/>
      <c r="N739" s="137"/>
      <c r="O739" s="137"/>
      <c r="P739" s="137"/>
    </row>
    <row r="740" spans="3:16" x14ac:dyDescent="0.25">
      <c r="C740" s="137"/>
      <c r="D740" s="137"/>
      <c r="E740" s="137"/>
      <c r="F740" s="137"/>
      <c r="G740" s="137"/>
      <c r="H740" s="137"/>
      <c r="I740" s="137"/>
      <c r="J740" s="137"/>
      <c r="K740" s="137"/>
      <c r="L740" s="137"/>
      <c r="M740" s="137"/>
      <c r="N740" s="137"/>
      <c r="O740" s="137"/>
      <c r="P740" s="137"/>
    </row>
    <row r="741" spans="3:16" x14ac:dyDescent="0.25">
      <c r="C741" s="137"/>
      <c r="D741" s="137"/>
      <c r="E741" s="137"/>
      <c r="F741" s="137"/>
      <c r="G741" s="137"/>
      <c r="H741" s="137"/>
      <c r="I741" s="137"/>
      <c r="J741" s="137"/>
      <c r="K741" s="137"/>
      <c r="L741" s="137"/>
      <c r="M741" s="137"/>
      <c r="N741" s="137"/>
      <c r="O741" s="137"/>
      <c r="P741" s="137"/>
    </row>
    <row r="742" spans="3:16" x14ac:dyDescent="0.25">
      <c r="C742" s="137"/>
      <c r="D742" s="137"/>
      <c r="E742" s="137"/>
      <c r="F742" s="137"/>
      <c r="G742" s="137"/>
      <c r="H742" s="137"/>
      <c r="I742" s="137"/>
      <c r="J742" s="137"/>
      <c r="K742" s="137"/>
      <c r="L742" s="137"/>
      <c r="M742" s="137"/>
      <c r="N742" s="137"/>
      <c r="O742" s="137"/>
      <c r="P742" s="137"/>
    </row>
    <row r="743" spans="3:16" x14ac:dyDescent="0.25">
      <c r="C743" s="137"/>
      <c r="D743" s="137"/>
      <c r="E743" s="137"/>
      <c r="F743" s="137"/>
      <c r="G743" s="137"/>
      <c r="H743" s="137"/>
      <c r="I743" s="137"/>
      <c r="J743" s="137"/>
      <c r="K743" s="137"/>
      <c r="L743" s="137"/>
      <c r="M743" s="137"/>
      <c r="N743" s="137"/>
      <c r="O743" s="137"/>
      <c r="P743" s="137"/>
    </row>
    <row r="744" spans="3:16" x14ac:dyDescent="0.25">
      <c r="C744" s="137"/>
      <c r="D744" s="137"/>
      <c r="E744" s="137"/>
      <c r="F744" s="137"/>
      <c r="G744" s="137"/>
      <c r="H744" s="137"/>
      <c r="I744" s="137"/>
      <c r="J744" s="137"/>
      <c r="K744" s="137"/>
      <c r="L744" s="137"/>
      <c r="M744" s="137"/>
      <c r="N744" s="137"/>
      <c r="O744" s="137"/>
      <c r="P744" s="137"/>
    </row>
    <row r="745" spans="3:16" x14ac:dyDescent="0.25">
      <c r="C745" s="137"/>
      <c r="D745" s="137"/>
      <c r="E745" s="137"/>
      <c r="F745" s="137"/>
      <c r="G745" s="137"/>
      <c r="H745" s="137"/>
      <c r="I745" s="137"/>
      <c r="J745" s="137"/>
      <c r="K745" s="137"/>
      <c r="L745" s="137"/>
      <c r="M745" s="137"/>
      <c r="N745" s="137"/>
      <c r="O745" s="137"/>
      <c r="P745" s="137"/>
    </row>
    <row r="746" spans="3:16" x14ac:dyDescent="0.25">
      <c r="C746" s="137"/>
      <c r="D746" s="137"/>
      <c r="E746" s="137"/>
      <c r="F746" s="137"/>
      <c r="G746" s="137"/>
      <c r="H746" s="137"/>
      <c r="I746" s="137"/>
      <c r="J746" s="137"/>
      <c r="K746" s="137"/>
      <c r="L746" s="137"/>
      <c r="M746" s="137"/>
      <c r="N746" s="137"/>
      <c r="O746" s="137"/>
      <c r="P746" s="137"/>
    </row>
    <row r="747" spans="3:16" x14ac:dyDescent="0.25">
      <c r="C747" s="137"/>
      <c r="D747" s="137"/>
      <c r="E747" s="137"/>
      <c r="F747" s="137"/>
      <c r="G747" s="137"/>
      <c r="H747" s="137"/>
      <c r="I747" s="137"/>
      <c r="J747" s="137"/>
      <c r="K747" s="137"/>
      <c r="L747" s="137"/>
      <c r="M747" s="137"/>
      <c r="N747" s="137"/>
      <c r="O747" s="137"/>
      <c r="P747" s="137"/>
    </row>
    <row r="748" spans="3:16" x14ac:dyDescent="0.25">
      <c r="C748" s="137"/>
      <c r="D748" s="137"/>
      <c r="E748" s="137"/>
      <c r="F748" s="137"/>
      <c r="G748" s="137"/>
      <c r="H748" s="137"/>
      <c r="I748" s="137"/>
      <c r="J748" s="137"/>
      <c r="K748" s="137"/>
      <c r="L748" s="137"/>
      <c r="M748" s="137"/>
      <c r="N748" s="137"/>
      <c r="O748" s="137"/>
      <c r="P748" s="137"/>
    </row>
    <row r="749" spans="3:16" x14ac:dyDescent="0.25">
      <c r="C749" s="137"/>
      <c r="D749" s="137"/>
      <c r="E749" s="137"/>
      <c r="F749" s="137"/>
      <c r="G749" s="137"/>
      <c r="H749" s="137"/>
      <c r="I749" s="137"/>
      <c r="J749" s="137"/>
      <c r="K749" s="137"/>
      <c r="L749" s="137"/>
      <c r="M749" s="137"/>
      <c r="N749" s="137"/>
      <c r="O749" s="137"/>
      <c r="P749" s="137"/>
    </row>
    <row r="750" spans="3:16" x14ac:dyDescent="0.25">
      <c r="C750" s="137"/>
      <c r="D750" s="137"/>
      <c r="E750" s="137"/>
      <c r="F750" s="137"/>
      <c r="G750" s="137"/>
      <c r="H750" s="137"/>
      <c r="I750" s="137"/>
      <c r="J750" s="137"/>
      <c r="K750" s="137"/>
      <c r="L750" s="137"/>
      <c r="M750" s="137"/>
      <c r="N750" s="137"/>
      <c r="O750" s="137"/>
      <c r="P750" s="137"/>
    </row>
    <row r="751" spans="3:16" x14ac:dyDescent="0.25">
      <c r="C751" s="137"/>
      <c r="D751" s="137"/>
      <c r="E751" s="137"/>
      <c r="F751" s="137"/>
      <c r="G751" s="137"/>
      <c r="H751" s="137"/>
      <c r="I751" s="137"/>
      <c r="J751" s="137"/>
      <c r="K751" s="137"/>
      <c r="L751" s="137"/>
      <c r="M751" s="137"/>
      <c r="N751" s="137"/>
      <c r="O751" s="137"/>
      <c r="P751" s="137"/>
    </row>
    <row r="752" spans="3:16" x14ac:dyDescent="0.25">
      <c r="C752" s="137"/>
      <c r="D752" s="137"/>
      <c r="E752" s="137"/>
      <c r="F752" s="137"/>
      <c r="G752" s="137"/>
      <c r="H752" s="137"/>
      <c r="I752" s="137"/>
      <c r="J752" s="137"/>
      <c r="K752" s="137"/>
      <c r="L752" s="137"/>
      <c r="M752" s="137"/>
      <c r="N752" s="137"/>
      <c r="O752" s="137"/>
      <c r="P752" s="137"/>
    </row>
    <row r="753" spans="3:16" x14ac:dyDescent="0.25">
      <c r="C753" s="137"/>
      <c r="D753" s="137"/>
      <c r="E753" s="137"/>
      <c r="F753" s="137"/>
      <c r="G753" s="137"/>
      <c r="H753" s="137"/>
      <c r="I753" s="137"/>
      <c r="J753" s="137"/>
      <c r="K753" s="137"/>
      <c r="L753" s="137"/>
      <c r="M753" s="137"/>
      <c r="N753" s="137"/>
      <c r="O753" s="137"/>
      <c r="P753" s="137"/>
    </row>
    <row r="754" spans="3:16" x14ac:dyDescent="0.25">
      <c r="C754" s="137"/>
      <c r="D754" s="137"/>
      <c r="E754" s="137"/>
      <c r="F754" s="137"/>
      <c r="G754" s="137"/>
      <c r="H754" s="137"/>
      <c r="I754" s="137"/>
      <c r="J754" s="137"/>
      <c r="K754" s="137"/>
      <c r="L754" s="137"/>
      <c r="M754" s="137"/>
      <c r="N754" s="137"/>
      <c r="O754" s="137"/>
      <c r="P754" s="137"/>
    </row>
    <row r="755" spans="3:16" x14ac:dyDescent="0.25">
      <c r="C755" s="137"/>
      <c r="D755" s="137"/>
      <c r="E755" s="137"/>
      <c r="F755" s="137"/>
      <c r="G755" s="137"/>
      <c r="H755" s="137"/>
      <c r="I755" s="137"/>
      <c r="J755" s="137"/>
      <c r="K755" s="137"/>
      <c r="L755" s="137"/>
      <c r="M755" s="137"/>
      <c r="N755" s="137"/>
      <c r="O755" s="137"/>
      <c r="P755" s="137"/>
    </row>
    <row r="756" spans="3:16" x14ac:dyDescent="0.25">
      <c r="C756" s="137"/>
      <c r="D756" s="137"/>
      <c r="E756" s="137"/>
      <c r="F756" s="137"/>
      <c r="G756" s="137"/>
      <c r="H756" s="137"/>
      <c r="I756" s="137"/>
      <c r="J756" s="137"/>
      <c r="K756" s="137"/>
      <c r="L756" s="137"/>
      <c r="M756" s="137"/>
      <c r="N756" s="137"/>
      <c r="O756" s="137"/>
      <c r="P756" s="137"/>
    </row>
    <row r="757" spans="3:16" x14ac:dyDescent="0.25">
      <c r="C757" s="137"/>
      <c r="D757" s="137"/>
      <c r="E757" s="137"/>
      <c r="F757" s="137"/>
      <c r="G757" s="137"/>
      <c r="H757" s="137"/>
      <c r="I757" s="137"/>
      <c r="J757" s="137"/>
      <c r="K757" s="137"/>
      <c r="L757" s="137"/>
      <c r="M757" s="137"/>
      <c r="N757" s="137"/>
      <c r="O757" s="137"/>
      <c r="P757" s="137"/>
    </row>
    <row r="758" spans="3:16" x14ac:dyDescent="0.25">
      <c r="C758" s="137"/>
      <c r="D758" s="137"/>
      <c r="E758" s="137"/>
      <c r="F758" s="137"/>
      <c r="G758" s="137"/>
      <c r="H758" s="137"/>
      <c r="I758" s="137"/>
      <c r="J758" s="137"/>
      <c r="K758" s="137"/>
      <c r="L758" s="137"/>
      <c r="M758" s="137"/>
      <c r="N758" s="137"/>
      <c r="O758" s="137"/>
      <c r="P758" s="137"/>
    </row>
    <row r="759" spans="3:16" x14ac:dyDescent="0.25">
      <c r="C759" s="137"/>
      <c r="D759" s="137"/>
      <c r="E759" s="137"/>
      <c r="F759" s="137"/>
      <c r="G759" s="137"/>
      <c r="H759" s="137"/>
      <c r="I759" s="137"/>
      <c r="J759" s="137"/>
      <c r="K759" s="137"/>
      <c r="L759" s="137"/>
      <c r="M759" s="137"/>
      <c r="N759" s="137"/>
      <c r="O759" s="137"/>
      <c r="P759" s="137"/>
    </row>
    <row r="760" spans="3:16" x14ac:dyDescent="0.25">
      <c r="C760" s="137"/>
      <c r="D760" s="137"/>
      <c r="E760" s="137"/>
      <c r="F760" s="137"/>
      <c r="G760" s="137"/>
      <c r="H760" s="137"/>
      <c r="I760" s="137"/>
      <c r="J760" s="137"/>
      <c r="K760" s="137"/>
      <c r="L760" s="137"/>
      <c r="M760" s="137"/>
      <c r="N760" s="137"/>
      <c r="O760" s="137"/>
      <c r="P760" s="137"/>
    </row>
    <row r="761" spans="3:16" x14ac:dyDescent="0.25">
      <c r="C761" s="137"/>
      <c r="D761" s="137"/>
      <c r="E761" s="137"/>
      <c r="F761" s="137"/>
      <c r="G761" s="137"/>
      <c r="H761" s="137"/>
      <c r="I761" s="137"/>
      <c r="J761" s="137"/>
      <c r="K761" s="137"/>
      <c r="L761" s="137"/>
      <c r="M761" s="137"/>
      <c r="N761" s="137"/>
      <c r="O761" s="137"/>
      <c r="P761" s="137"/>
    </row>
    <row r="762" spans="3:16" x14ac:dyDescent="0.25">
      <c r="C762" s="137"/>
      <c r="D762" s="137"/>
      <c r="E762" s="137"/>
      <c r="F762" s="137"/>
      <c r="G762" s="137"/>
      <c r="H762" s="137"/>
      <c r="I762" s="137"/>
      <c r="J762" s="137"/>
      <c r="K762" s="137"/>
      <c r="L762" s="137"/>
      <c r="M762" s="137"/>
      <c r="N762" s="137"/>
      <c r="O762" s="137"/>
      <c r="P762" s="137"/>
    </row>
    <row r="763" spans="3:16" x14ac:dyDescent="0.25">
      <c r="C763" s="137"/>
      <c r="D763" s="137"/>
      <c r="E763" s="137"/>
      <c r="F763" s="137"/>
      <c r="G763" s="137"/>
      <c r="H763" s="137"/>
      <c r="I763" s="137"/>
      <c r="J763" s="137"/>
      <c r="K763" s="137"/>
      <c r="L763" s="137"/>
      <c r="M763" s="137"/>
      <c r="N763" s="137"/>
      <c r="O763" s="137"/>
      <c r="P763" s="137"/>
    </row>
    <row r="764" spans="3:16" x14ac:dyDescent="0.25">
      <c r="C764" s="137"/>
      <c r="D764" s="137"/>
      <c r="E764" s="137"/>
      <c r="F764" s="137"/>
      <c r="G764" s="137"/>
      <c r="H764" s="137"/>
      <c r="I764" s="137"/>
      <c r="J764" s="137"/>
      <c r="K764" s="137"/>
      <c r="L764" s="137"/>
      <c r="M764" s="137"/>
      <c r="N764" s="137"/>
      <c r="O764" s="137"/>
      <c r="P764" s="137"/>
    </row>
    <row r="765" spans="3:16" x14ac:dyDescent="0.25">
      <c r="C765" s="137"/>
      <c r="D765" s="137"/>
      <c r="E765" s="137"/>
      <c r="F765" s="137"/>
      <c r="G765" s="137"/>
      <c r="H765" s="137"/>
      <c r="I765" s="137"/>
      <c r="J765" s="137"/>
      <c r="K765" s="137"/>
      <c r="L765" s="137"/>
      <c r="M765" s="137"/>
      <c r="N765" s="137"/>
      <c r="O765" s="137"/>
      <c r="P765" s="137"/>
    </row>
    <row r="766" spans="3:16" x14ac:dyDescent="0.25">
      <c r="C766" s="137"/>
      <c r="D766" s="137"/>
      <c r="E766" s="137"/>
      <c r="F766" s="137"/>
      <c r="G766" s="137"/>
      <c r="H766" s="137"/>
      <c r="I766" s="137"/>
      <c r="J766" s="137"/>
      <c r="K766" s="137"/>
      <c r="L766" s="137"/>
      <c r="M766" s="137"/>
      <c r="N766" s="137"/>
      <c r="O766" s="137"/>
      <c r="P766" s="137"/>
    </row>
    <row r="767" spans="3:16" x14ac:dyDescent="0.25">
      <c r="C767" s="137"/>
      <c r="D767" s="137"/>
      <c r="E767" s="137"/>
      <c r="F767" s="137"/>
      <c r="G767" s="137"/>
      <c r="H767" s="137"/>
      <c r="I767" s="137"/>
      <c r="J767" s="137"/>
      <c r="K767" s="137"/>
      <c r="L767" s="137"/>
      <c r="M767" s="137"/>
      <c r="N767" s="137"/>
      <c r="O767" s="137"/>
      <c r="P767" s="137"/>
    </row>
    <row r="768" spans="3:16" x14ac:dyDescent="0.25">
      <c r="C768" s="137"/>
      <c r="D768" s="137"/>
      <c r="E768" s="137"/>
      <c r="F768" s="137"/>
      <c r="G768" s="137"/>
      <c r="H768" s="137"/>
      <c r="I768" s="137"/>
      <c r="J768" s="137"/>
      <c r="K768" s="137"/>
      <c r="L768" s="137"/>
      <c r="M768" s="137"/>
      <c r="N768" s="137"/>
      <c r="O768" s="137"/>
      <c r="P768" s="137"/>
    </row>
    <row r="769" spans="3:16" x14ac:dyDescent="0.25">
      <c r="C769" s="137"/>
      <c r="D769" s="137"/>
      <c r="E769" s="137"/>
      <c r="F769" s="137"/>
      <c r="G769" s="137"/>
      <c r="H769" s="137"/>
      <c r="I769" s="137"/>
      <c r="J769" s="137"/>
      <c r="K769" s="137"/>
      <c r="L769" s="137"/>
      <c r="M769" s="137"/>
      <c r="N769" s="137"/>
      <c r="O769" s="137"/>
      <c r="P769" s="137"/>
    </row>
    <row r="770" spans="3:16" x14ac:dyDescent="0.25">
      <c r="C770" s="137"/>
      <c r="D770" s="137"/>
      <c r="E770" s="137"/>
      <c r="F770" s="137"/>
      <c r="G770" s="137"/>
      <c r="H770" s="137"/>
      <c r="I770" s="137"/>
      <c r="J770" s="137"/>
      <c r="K770" s="137"/>
      <c r="L770" s="137"/>
      <c r="M770" s="137"/>
      <c r="N770" s="137"/>
      <c r="O770" s="137"/>
      <c r="P770" s="137"/>
    </row>
    <row r="771" spans="3:16" x14ac:dyDescent="0.25">
      <c r="C771" s="137"/>
      <c r="D771" s="137"/>
      <c r="E771" s="137"/>
      <c r="F771" s="137"/>
      <c r="G771" s="137"/>
      <c r="H771" s="137"/>
      <c r="I771" s="137"/>
      <c r="J771" s="137"/>
      <c r="K771" s="137"/>
      <c r="L771" s="137"/>
      <c r="M771" s="137"/>
      <c r="N771" s="137"/>
      <c r="O771" s="137"/>
      <c r="P771" s="137"/>
    </row>
    <row r="772" spans="3:16" x14ac:dyDescent="0.25">
      <c r="C772" s="137"/>
      <c r="D772" s="137"/>
      <c r="E772" s="137"/>
      <c r="F772" s="137"/>
      <c r="G772" s="137"/>
      <c r="H772" s="137"/>
      <c r="I772" s="137"/>
      <c r="J772" s="137"/>
      <c r="K772" s="137"/>
      <c r="L772" s="137"/>
      <c r="M772" s="137"/>
      <c r="N772" s="137"/>
      <c r="O772" s="137"/>
      <c r="P772" s="137"/>
    </row>
    <row r="773" spans="3:16" x14ac:dyDescent="0.25">
      <c r="C773" s="137"/>
      <c r="D773" s="137"/>
      <c r="E773" s="137"/>
      <c r="F773" s="137"/>
      <c r="G773" s="137"/>
      <c r="H773" s="137"/>
      <c r="I773" s="137"/>
      <c r="J773" s="137"/>
      <c r="K773" s="137"/>
      <c r="L773" s="137"/>
      <c r="M773" s="137"/>
      <c r="N773" s="137"/>
      <c r="O773" s="137"/>
      <c r="P773" s="137"/>
    </row>
    <row r="774" spans="3:16" x14ac:dyDescent="0.25">
      <c r="C774" s="137"/>
      <c r="D774" s="137"/>
      <c r="E774" s="137"/>
      <c r="F774" s="137"/>
      <c r="G774" s="137"/>
      <c r="H774" s="137"/>
      <c r="I774" s="137"/>
      <c r="J774" s="137"/>
      <c r="K774" s="137"/>
      <c r="L774" s="137"/>
      <c r="M774" s="137"/>
      <c r="N774" s="137"/>
      <c r="O774" s="137"/>
      <c r="P774" s="137"/>
    </row>
    <row r="775" spans="3:16" x14ac:dyDescent="0.25">
      <c r="C775" s="137"/>
      <c r="D775" s="137"/>
      <c r="E775" s="137"/>
      <c r="F775" s="137"/>
      <c r="G775" s="137"/>
      <c r="H775" s="137"/>
      <c r="I775" s="137"/>
      <c r="J775" s="137"/>
      <c r="K775" s="137"/>
      <c r="L775" s="137"/>
      <c r="M775" s="137"/>
      <c r="N775" s="137"/>
      <c r="O775" s="137"/>
      <c r="P775" s="137"/>
    </row>
    <row r="776" spans="3:16" x14ac:dyDescent="0.25">
      <c r="C776" s="137"/>
      <c r="D776" s="137"/>
      <c r="E776" s="137"/>
      <c r="F776" s="137"/>
      <c r="G776" s="137"/>
      <c r="H776" s="137"/>
      <c r="I776" s="137"/>
      <c r="J776" s="137"/>
      <c r="K776" s="137"/>
      <c r="L776" s="137"/>
      <c r="M776" s="137"/>
      <c r="N776" s="137"/>
      <c r="O776" s="137"/>
      <c r="P776" s="137"/>
    </row>
    <row r="777" spans="3:16" x14ac:dyDescent="0.25">
      <c r="C777" s="137"/>
      <c r="D777" s="137"/>
      <c r="E777" s="137"/>
      <c r="F777" s="137"/>
      <c r="G777" s="137"/>
      <c r="H777" s="137"/>
      <c r="I777" s="137"/>
      <c r="J777" s="137"/>
      <c r="K777" s="137"/>
      <c r="L777" s="137"/>
      <c r="M777" s="137"/>
      <c r="N777" s="137"/>
      <c r="O777" s="137"/>
      <c r="P777" s="137"/>
    </row>
    <row r="778" spans="3:16" x14ac:dyDescent="0.25">
      <c r="C778" s="137"/>
      <c r="D778" s="137"/>
      <c r="E778" s="137"/>
      <c r="F778" s="137"/>
      <c r="G778" s="137"/>
      <c r="H778" s="137"/>
      <c r="I778" s="137"/>
      <c r="J778" s="137"/>
      <c r="K778" s="137"/>
      <c r="L778" s="137"/>
      <c r="M778" s="137"/>
      <c r="N778" s="137"/>
      <c r="O778" s="137"/>
      <c r="P778" s="137"/>
    </row>
    <row r="779" spans="3:16" x14ac:dyDescent="0.25">
      <c r="C779" s="137"/>
      <c r="D779" s="137"/>
      <c r="E779" s="137"/>
      <c r="F779" s="137"/>
      <c r="G779" s="137"/>
      <c r="H779" s="137"/>
      <c r="I779" s="137"/>
      <c r="J779" s="137"/>
      <c r="K779" s="137"/>
      <c r="L779" s="137"/>
      <c r="M779" s="137"/>
      <c r="N779" s="137"/>
      <c r="O779" s="137"/>
      <c r="P779" s="137"/>
    </row>
    <row r="780" spans="3:16" x14ac:dyDescent="0.25">
      <c r="C780" s="137"/>
      <c r="D780" s="137"/>
      <c r="E780" s="137"/>
      <c r="F780" s="137"/>
      <c r="G780" s="137"/>
      <c r="H780" s="137"/>
      <c r="I780" s="137"/>
      <c r="J780" s="137"/>
      <c r="K780" s="137"/>
      <c r="L780" s="137"/>
      <c r="M780" s="137"/>
      <c r="N780" s="137"/>
      <c r="O780" s="137"/>
      <c r="P780" s="137"/>
    </row>
    <row r="781" spans="3:16" x14ac:dyDescent="0.25">
      <c r="C781" s="137"/>
      <c r="D781" s="137"/>
      <c r="E781" s="137"/>
      <c r="F781" s="137"/>
      <c r="G781" s="137"/>
      <c r="H781" s="137"/>
      <c r="I781" s="137"/>
      <c r="J781" s="137"/>
      <c r="K781" s="137"/>
      <c r="L781" s="137"/>
      <c r="M781" s="137"/>
      <c r="N781" s="137"/>
      <c r="O781" s="137"/>
      <c r="P781" s="137"/>
    </row>
    <row r="782" spans="3:16" x14ac:dyDescent="0.25">
      <c r="C782" s="137"/>
      <c r="D782" s="137"/>
      <c r="E782" s="137"/>
      <c r="F782" s="137"/>
      <c r="G782" s="137"/>
      <c r="H782" s="137"/>
      <c r="I782" s="137"/>
      <c r="J782" s="137"/>
      <c r="K782" s="137"/>
      <c r="L782" s="137"/>
      <c r="M782" s="137"/>
      <c r="N782" s="137"/>
      <c r="O782" s="137"/>
      <c r="P782" s="137"/>
    </row>
    <row r="783" spans="3:16" x14ac:dyDescent="0.25">
      <c r="C783" s="137"/>
      <c r="D783" s="137"/>
      <c r="E783" s="137"/>
      <c r="F783" s="137"/>
      <c r="G783" s="137"/>
      <c r="H783" s="137"/>
      <c r="I783" s="137"/>
      <c r="J783" s="137"/>
      <c r="K783" s="137"/>
      <c r="L783" s="137"/>
      <c r="M783" s="137"/>
      <c r="N783" s="137"/>
      <c r="O783" s="137"/>
      <c r="P783" s="137"/>
    </row>
    <row r="784" spans="3:16" x14ac:dyDescent="0.25">
      <c r="C784" s="137"/>
      <c r="D784" s="137"/>
      <c r="E784" s="137"/>
      <c r="F784" s="137"/>
      <c r="G784" s="137"/>
      <c r="H784" s="137"/>
      <c r="I784" s="137"/>
      <c r="J784" s="137"/>
      <c r="K784" s="137"/>
      <c r="L784" s="137"/>
      <c r="M784" s="137"/>
      <c r="N784" s="137"/>
      <c r="O784" s="137"/>
      <c r="P784" s="137"/>
    </row>
    <row r="785" spans="3:16" x14ac:dyDescent="0.25">
      <c r="C785" s="137"/>
      <c r="D785" s="137"/>
      <c r="E785" s="137"/>
      <c r="F785" s="137"/>
      <c r="G785" s="137"/>
      <c r="H785" s="137"/>
      <c r="I785" s="137"/>
      <c r="J785" s="137"/>
      <c r="K785" s="137"/>
      <c r="L785" s="137"/>
      <c r="M785" s="137"/>
      <c r="N785" s="137"/>
      <c r="O785" s="137"/>
      <c r="P785" s="137"/>
    </row>
    <row r="786" spans="3:16" x14ac:dyDescent="0.25">
      <c r="C786" s="137"/>
      <c r="D786" s="137"/>
      <c r="E786" s="137"/>
      <c r="F786" s="137"/>
      <c r="G786" s="137"/>
      <c r="H786" s="137"/>
      <c r="I786" s="137"/>
      <c r="J786" s="137"/>
      <c r="K786" s="137"/>
      <c r="L786" s="137"/>
      <c r="M786" s="137"/>
      <c r="N786" s="137"/>
      <c r="O786" s="137"/>
      <c r="P786" s="137"/>
    </row>
    <row r="787" spans="3:16" x14ac:dyDescent="0.25">
      <c r="C787" s="137"/>
      <c r="D787" s="137"/>
      <c r="E787" s="137"/>
      <c r="F787" s="137"/>
      <c r="G787" s="137"/>
      <c r="H787" s="137"/>
      <c r="I787" s="137"/>
      <c r="J787" s="137"/>
      <c r="K787" s="137"/>
      <c r="L787" s="137"/>
      <c r="M787" s="137"/>
      <c r="N787" s="137"/>
      <c r="O787" s="137"/>
      <c r="P787" s="137"/>
    </row>
    <row r="788" spans="3:16" x14ac:dyDescent="0.25">
      <c r="C788" s="137"/>
      <c r="D788" s="137"/>
      <c r="E788" s="137"/>
      <c r="F788" s="137"/>
      <c r="G788" s="137"/>
      <c r="H788" s="137"/>
      <c r="I788" s="137"/>
      <c r="J788" s="137"/>
      <c r="K788" s="137"/>
      <c r="L788" s="137"/>
      <c r="M788" s="137"/>
      <c r="N788" s="137"/>
      <c r="O788" s="137"/>
      <c r="P788" s="137"/>
    </row>
    <row r="789" spans="3:16" x14ac:dyDescent="0.25">
      <c r="C789" s="137"/>
      <c r="D789" s="137"/>
      <c r="E789" s="137"/>
      <c r="F789" s="137"/>
      <c r="G789" s="137"/>
      <c r="H789" s="137"/>
      <c r="I789" s="137"/>
      <c r="J789" s="137"/>
      <c r="K789" s="137"/>
      <c r="L789" s="137"/>
      <c r="M789" s="137"/>
      <c r="N789" s="137"/>
      <c r="O789" s="137"/>
      <c r="P789" s="137"/>
    </row>
    <row r="790" spans="3:16" x14ac:dyDescent="0.25">
      <c r="C790" s="137"/>
      <c r="D790" s="137"/>
      <c r="E790" s="137"/>
      <c r="F790" s="137"/>
      <c r="G790" s="137"/>
      <c r="H790" s="137"/>
      <c r="I790" s="137"/>
      <c r="J790" s="137"/>
      <c r="K790" s="137"/>
      <c r="L790" s="137"/>
      <c r="M790" s="137"/>
      <c r="N790" s="137"/>
      <c r="O790" s="137"/>
      <c r="P790" s="137"/>
    </row>
    <row r="791" spans="3:16" x14ac:dyDescent="0.25">
      <c r="C791" s="137"/>
      <c r="D791" s="137"/>
      <c r="E791" s="137"/>
      <c r="F791" s="137"/>
      <c r="G791" s="137"/>
      <c r="H791" s="137"/>
      <c r="I791" s="137"/>
      <c r="J791" s="137"/>
      <c r="K791" s="137"/>
      <c r="L791" s="137"/>
      <c r="M791" s="137"/>
      <c r="N791" s="137"/>
      <c r="O791" s="137"/>
      <c r="P791" s="137"/>
    </row>
    <row r="792" spans="3:16" x14ac:dyDescent="0.25">
      <c r="C792" s="137"/>
      <c r="D792" s="137"/>
      <c r="E792" s="137"/>
      <c r="F792" s="137"/>
      <c r="G792" s="137"/>
      <c r="H792" s="137"/>
      <c r="I792" s="137"/>
      <c r="J792" s="137"/>
      <c r="K792" s="137"/>
      <c r="L792" s="137"/>
      <c r="M792" s="137"/>
      <c r="N792" s="137"/>
      <c r="O792" s="137"/>
      <c r="P792" s="137"/>
    </row>
    <row r="793" spans="3:16" x14ac:dyDescent="0.25">
      <c r="C793" s="137"/>
      <c r="D793" s="137"/>
      <c r="E793" s="137"/>
      <c r="F793" s="137"/>
      <c r="G793" s="137"/>
      <c r="H793" s="137"/>
      <c r="I793" s="137"/>
      <c r="J793" s="137"/>
      <c r="K793" s="137"/>
      <c r="L793" s="137"/>
      <c r="M793" s="137"/>
      <c r="N793" s="137"/>
      <c r="O793" s="137"/>
      <c r="P793" s="137"/>
    </row>
    <row r="794" spans="3:16" x14ac:dyDescent="0.25">
      <c r="C794" s="137"/>
      <c r="D794" s="137"/>
      <c r="E794" s="137"/>
      <c r="F794" s="137"/>
      <c r="G794" s="137"/>
      <c r="H794" s="137"/>
      <c r="I794" s="137"/>
      <c r="J794" s="137"/>
      <c r="K794" s="137"/>
      <c r="L794" s="137"/>
      <c r="M794" s="137"/>
      <c r="N794" s="137"/>
      <c r="O794" s="137"/>
      <c r="P794" s="137"/>
    </row>
    <row r="795" spans="3:16" x14ac:dyDescent="0.25">
      <c r="C795" s="137"/>
      <c r="D795" s="137"/>
      <c r="E795" s="137"/>
      <c r="F795" s="137"/>
      <c r="G795" s="137"/>
      <c r="H795" s="137"/>
      <c r="I795" s="137"/>
      <c r="J795" s="137"/>
      <c r="K795" s="137"/>
      <c r="L795" s="137"/>
      <c r="M795" s="137"/>
      <c r="N795" s="137"/>
      <c r="O795" s="137"/>
      <c r="P795" s="137"/>
    </row>
    <row r="796" spans="3:16" x14ac:dyDescent="0.25">
      <c r="C796" s="137"/>
      <c r="D796" s="137"/>
      <c r="E796" s="137"/>
      <c r="F796" s="137"/>
      <c r="G796" s="137"/>
      <c r="H796" s="137"/>
      <c r="I796" s="137"/>
      <c r="J796" s="137"/>
      <c r="K796" s="137"/>
      <c r="L796" s="137"/>
      <c r="M796" s="137"/>
      <c r="N796" s="137"/>
      <c r="O796" s="137"/>
      <c r="P796" s="137"/>
    </row>
    <row r="797" spans="3:16" x14ac:dyDescent="0.25">
      <c r="C797" s="137"/>
      <c r="D797" s="137"/>
      <c r="E797" s="137"/>
      <c r="F797" s="137"/>
      <c r="G797" s="137"/>
      <c r="H797" s="137"/>
      <c r="I797" s="137"/>
      <c r="J797" s="137"/>
      <c r="K797" s="137"/>
      <c r="L797" s="137"/>
      <c r="M797" s="137"/>
      <c r="N797" s="137"/>
      <c r="O797" s="137"/>
      <c r="P797" s="137"/>
    </row>
    <row r="798" spans="3:16" x14ac:dyDescent="0.25">
      <c r="C798" s="137"/>
      <c r="D798" s="137"/>
      <c r="E798" s="137"/>
      <c r="F798" s="137"/>
      <c r="G798" s="137"/>
      <c r="H798" s="137"/>
      <c r="I798" s="137"/>
      <c r="J798" s="137"/>
      <c r="K798" s="137"/>
      <c r="L798" s="137"/>
      <c r="M798" s="137"/>
      <c r="N798" s="137"/>
      <c r="O798" s="137"/>
      <c r="P798" s="137"/>
    </row>
    <row r="799" spans="3:16" x14ac:dyDescent="0.25">
      <c r="C799" s="137"/>
      <c r="D799" s="137"/>
      <c r="E799" s="137"/>
      <c r="F799" s="137"/>
      <c r="G799" s="137"/>
      <c r="H799" s="137"/>
      <c r="I799" s="137"/>
      <c r="J799" s="137"/>
      <c r="K799" s="137"/>
      <c r="L799" s="137"/>
      <c r="M799" s="137"/>
      <c r="N799" s="137"/>
      <c r="O799" s="137"/>
      <c r="P799" s="137"/>
    </row>
    <row r="800" spans="3:16" x14ac:dyDescent="0.25">
      <c r="C800" s="137"/>
      <c r="D800" s="137"/>
      <c r="E800" s="137"/>
      <c r="F800" s="137"/>
      <c r="G800" s="137"/>
      <c r="H800" s="137"/>
      <c r="I800" s="137"/>
      <c r="J800" s="137"/>
      <c r="K800" s="137"/>
      <c r="L800" s="137"/>
      <c r="M800" s="137"/>
      <c r="N800" s="137"/>
      <c r="O800" s="137"/>
      <c r="P800" s="137"/>
    </row>
    <row r="801" spans="3:16" x14ac:dyDescent="0.25">
      <c r="C801" s="137"/>
      <c r="D801" s="137"/>
      <c r="E801" s="137"/>
      <c r="F801" s="137"/>
      <c r="G801" s="137"/>
      <c r="H801" s="137"/>
      <c r="I801" s="137"/>
      <c r="J801" s="137"/>
      <c r="K801" s="137"/>
      <c r="L801" s="137"/>
      <c r="M801" s="137"/>
      <c r="N801" s="137"/>
      <c r="O801" s="137"/>
      <c r="P801" s="137"/>
    </row>
    <row r="802" spans="3:16" x14ac:dyDescent="0.25">
      <c r="C802" s="137"/>
      <c r="D802" s="137"/>
      <c r="E802" s="137"/>
      <c r="F802" s="137"/>
      <c r="G802" s="137"/>
      <c r="H802" s="137"/>
      <c r="I802" s="137"/>
      <c r="J802" s="137"/>
      <c r="K802" s="137"/>
      <c r="L802" s="137"/>
      <c r="M802" s="137"/>
      <c r="N802" s="137"/>
      <c r="O802" s="137"/>
      <c r="P802" s="137"/>
    </row>
    <row r="803" spans="3:16" x14ac:dyDescent="0.25">
      <c r="C803" s="137"/>
      <c r="D803" s="137"/>
      <c r="E803" s="137"/>
      <c r="F803" s="137"/>
      <c r="G803" s="137"/>
      <c r="H803" s="137"/>
      <c r="I803" s="137"/>
      <c r="J803" s="137"/>
      <c r="K803" s="137"/>
      <c r="L803" s="137"/>
      <c r="M803" s="137"/>
      <c r="N803" s="137"/>
      <c r="O803" s="137"/>
      <c r="P803" s="137"/>
    </row>
    <row r="804" spans="3:16" x14ac:dyDescent="0.25">
      <c r="C804" s="137"/>
      <c r="D804" s="137"/>
      <c r="E804" s="137"/>
      <c r="F804" s="137"/>
      <c r="G804" s="137"/>
      <c r="H804" s="137"/>
      <c r="I804" s="137"/>
      <c r="J804" s="137"/>
      <c r="K804" s="137"/>
      <c r="L804" s="137"/>
      <c r="M804" s="137"/>
      <c r="N804" s="137"/>
      <c r="O804" s="137"/>
      <c r="P804" s="137"/>
    </row>
    <row r="805" spans="3:16" x14ac:dyDescent="0.25">
      <c r="C805" s="137"/>
      <c r="D805" s="137"/>
      <c r="E805" s="137"/>
      <c r="F805" s="137"/>
      <c r="G805" s="137"/>
      <c r="H805" s="137"/>
      <c r="I805" s="137"/>
      <c r="J805" s="137"/>
      <c r="K805" s="137"/>
      <c r="L805" s="137"/>
      <c r="M805" s="137"/>
      <c r="N805" s="137"/>
      <c r="O805" s="137"/>
      <c r="P805" s="137"/>
    </row>
    <row r="806" spans="3:16" x14ac:dyDescent="0.25">
      <c r="C806" s="137"/>
      <c r="D806" s="137"/>
      <c r="E806" s="137"/>
      <c r="F806" s="137"/>
      <c r="G806" s="137"/>
      <c r="H806" s="137"/>
      <c r="I806" s="137"/>
      <c r="J806" s="137"/>
      <c r="K806" s="137"/>
      <c r="L806" s="137"/>
      <c r="M806" s="137"/>
      <c r="N806" s="137"/>
      <c r="O806" s="137"/>
      <c r="P806" s="137"/>
    </row>
    <row r="807" spans="3:16" x14ac:dyDescent="0.25">
      <c r="C807" s="137"/>
      <c r="D807" s="137"/>
      <c r="E807" s="137"/>
      <c r="F807" s="137"/>
      <c r="G807" s="137"/>
      <c r="H807" s="137"/>
      <c r="I807" s="137"/>
      <c r="J807" s="137"/>
      <c r="K807" s="137"/>
      <c r="L807" s="137"/>
      <c r="M807" s="137"/>
      <c r="N807" s="137"/>
      <c r="O807" s="137"/>
      <c r="P807" s="137"/>
    </row>
    <row r="808" spans="3:16" x14ac:dyDescent="0.25">
      <c r="C808" s="137"/>
      <c r="D808" s="137"/>
      <c r="E808" s="137"/>
      <c r="F808" s="137"/>
      <c r="G808" s="137"/>
      <c r="H808" s="137"/>
      <c r="I808" s="137"/>
      <c r="J808" s="137"/>
      <c r="K808" s="137"/>
      <c r="L808" s="137"/>
      <c r="M808" s="137"/>
      <c r="N808" s="137"/>
      <c r="O808" s="137"/>
      <c r="P808" s="137"/>
    </row>
    <row r="809" spans="3:16" x14ac:dyDescent="0.25">
      <c r="C809" s="137"/>
      <c r="D809" s="137"/>
      <c r="E809" s="137"/>
      <c r="F809" s="137"/>
      <c r="G809" s="137"/>
      <c r="H809" s="137"/>
      <c r="I809" s="137"/>
      <c r="J809" s="137"/>
      <c r="K809" s="137"/>
      <c r="L809" s="137"/>
      <c r="M809" s="137"/>
      <c r="N809" s="137"/>
      <c r="O809" s="137"/>
      <c r="P809" s="137"/>
    </row>
    <row r="810" spans="3:16" x14ac:dyDescent="0.25">
      <c r="C810" s="137"/>
      <c r="D810" s="137"/>
      <c r="E810" s="137"/>
      <c r="F810" s="137"/>
      <c r="G810" s="137"/>
      <c r="H810" s="137"/>
      <c r="I810" s="137"/>
      <c r="J810" s="137"/>
      <c r="K810" s="137"/>
      <c r="L810" s="137"/>
      <c r="M810" s="137"/>
      <c r="N810" s="137"/>
      <c r="O810" s="137"/>
      <c r="P810" s="137"/>
    </row>
    <row r="811" spans="3:16" x14ac:dyDescent="0.25">
      <c r="C811" s="137"/>
      <c r="D811" s="137"/>
      <c r="E811" s="137"/>
      <c r="F811" s="137"/>
      <c r="G811" s="137"/>
      <c r="H811" s="137"/>
      <c r="I811" s="137"/>
      <c r="J811" s="137"/>
      <c r="K811" s="137"/>
      <c r="L811" s="137"/>
      <c r="M811" s="137"/>
      <c r="N811" s="137"/>
      <c r="O811" s="137"/>
      <c r="P811" s="137"/>
    </row>
    <row r="812" spans="3:16" x14ac:dyDescent="0.25">
      <c r="C812" s="137"/>
      <c r="D812" s="137"/>
      <c r="E812" s="137"/>
      <c r="F812" s="137"/>
      <c r="G812" s="137"/>
      <c r="H812" s="137"/>
      <c r="I812" s="137"/>
      <c r="J812" s="137"/>
      <c r="K812" s="137"/>
      <c r="L812" s="137"/>
      <c r="M812" s="137"/>
      <c r="N812" s="137"/>
      <c r="O812" s="137"/>
      <c r="P812" s="137"/>
    </row>
    <row r="813" spans="3:16" x14ac:dyDescent="0.25">
      <c r="C813" s="137"/>
      <c r="D813" s="137"/>
      <c r="E813" s="137"/>
      <c r="F813" s="137"/>
      <c r="G813" s="137"/>
      <c r="H813" s="137"/>
      <c r="I813" s="137"/>
      <c r="J813" s="137"/>
      <c r="K813" s="137"/>
      <c r="L813" s="137"/>
      <c r="M813" s="137"/>
      <c r="N813" s="137"/>
      <c r="O813" s="137"/>
      <c r="P813" s="137"/>
    </row>
    <row r="814" spans="3:16" x14ac:dyDescent="0.25">
      <c r="C814" s="137"/>
      <c r="D814" s="137"/>
      <c r="E814" s="137"/>
      <c r="F814" s="137"/>
      <c r="G814" s="137"/>
      <c r="H814" s="137"/>
      <c r="I814" s="137"/>
      <c r="J814" s="137"/>
      <c r="K814" s="137"/>
      <c r="L814" s="137"/>
      <c r="M814" s="137"/>
      <c r="N814" s="137"/>
      <c r="O814" s="137"/>
      <c r="P814" s="137"/>
    </row>
    <row r="815" spans="3:16" x14ac:dyDescent="0.25">
      <c r="C815" s="137"/>
      <c r="D815" s="137"/>
      <c r="E815" s="137"/>
      <c r="F815" s="137"/>
      <c r="G815" s="137"/>
      <c r="H815" s="137"/>
      <c r="I815" s="137"/>
      <c r="J815" s="137"/>
      <c r="K815" s="137"/>
      <c r="L815" s="137"/>
      <c r="M815" s="137"/>
      <c r="N815" s="137"/>
      <c r="O815" s="137"/>
      <c r="P815" s="137"/>
    </row>
    <row r="816" spans="3:16" x14ac:dyDescent="0.25">
      <c r="C816" s="137"/>
      <c r="D816" s="137"/>
      <c r="E816" s="137"/>
      <c r="F816" s="137"/>
      <c r="G816" s="137"/>
      <c r="H816" s="137"/>
      <c r="I816" s="137"/>
      <c r="J816" s="137"/>
      <c r="K816" s="137"/>
      <c r="L816" s="137"/>
      <c r="M816" s="137"/>
      <c r="N816" s="137"/>
      <c r="O816" s="137"/>
      <c r="P816" s="137"/>
    </row>
    <row r="817" spans="3:16" x14ac:dyDescent="0.25">
      <c r="C817" s="137"/>
      <c r="D817" s="137"/>
      <c r="E817" s="137"/>
      <c r="F817" s="137"/>
      <c r="G817" s="137"/>
      <c r="H817" s="137"/>
      <c r="I817" s="137"/>
      <c r="J817" s="137"/>
      <c r="K817" s="137"/>
      <c r="L817" s="137"/>
      <c r="M817" s="137"/>
      <c r="N817" s="137"/>
      <c r="O817" s="137"/>
      <c r="P817" s="137"/>
    </row>
    <row r="818" spans="3:16" x14ac:dyDescent="0.25">
      <c r="C818" s="137"/>
      <c r="D818" s="137"/>
      <c r="E818" s="137"/>
      <c r="F818" s="137"/>
      <c r="G818" s="137"/>
      <c r="H818" s="137"/>
      <c r="I818" s="137"/>
      <c r="J818" s="137"/>
      <c r="K818" s="137"/>
      <c r="L818" s="137"/>
      <c r="M818" s="137"/>
      <c r="N818" s="137"/>
      <c r="O818" s="137"/>
      <c r="P818" s="137"/>
    </row>
    <row r="819" spans="3:16" x14ac:dyDescent="0.25">
      <c r="C819" s="137"/>
      <c r="D819" s="137"/>
      <c r="E819" s="137"/>
      <c r="F819" s="137"/>
      <c r="G819" s="137"/>
      <c r="H819" s="137"/>
      <c r="I819" s="137"/>
      <c r="J819" s="137"/>
      <c r="K819" s="137"/>
      <c r="L819" s="137"/>
      <c r="M819" s="137"/>
      <c r="N819" s="137"/>
      <c r="O819" s="137"/>
      <c r="P819" s="137"/>
    </row>
    <row r="820" spans="3:16" x14ac:dyDescent="0.25">
      <c r="C820" s="137"/>
      <c r="D820" s="137"/>
      <c r="E820" s="137"/>
      <c r="F820" s="137"/>
      <c r="G820" s="137"/>
      <c r="H820" s="137"/>
      <c r="I820" s="137"/>
      <c r="J820" s="137"/>
      <c r="K820" s="137"/>
      <c r="L820" s="137"/>
      <c r="M820" s="137"/>
      <c r="N820" s="137"/>
      <c r="O820" s="137"/>
      <c r="P820" s="137"/>
    </row>
    <row r="821" spans="3:16" x14ac:dyDescent="0.25">
      <c r="C821" s="137"/>
      <c r="D821" s="137"/>
      <c r="E821" s="137"/>
      <c r="F821" s="137"/>
      <c r="G821" s="137"/>
      <c r="H821" s="137"/>
      <c r="I821" s="137"/>
      <c r="J821" s="137"/>
      <c r="K821" s="137"/>
      <c r="L821" s="137"/>
      <c r="M821" s="137"/>
      <c r="N821" s="137"/>
      <c r="O821" s="137"/>
      <c r="P821" s="137"/>
    </row>
    <row r="822" spans="3:16" x14ac:dyDescent="0.25">
      <c r="C822" s="137"/>
      <c r="D822" s="137"/>
      <c r="E822" s="137"/>
      <c r="F822" s="137"/>
      <c r="G822" s="137"/>
      <c r="H822" s="137"/>
      <c r="I822" s="137"/>
      <c r="J822" s="137"/>
      <c r="K822" s="137"/>
      <c r="L822" s="137"/>
      <c r="M822" s="137"/>
      <c r="N822" s="137"/>
      <c r="O822" s="137"/>
      <c r="P822" s="137"/>
    </row>
    <row r="823" spans="3:16" x14ac:dyDescent="0.25">
      <c r="C823" s="137"/>
      <c r="D823" s="137"/>
      <c r="E823" s="137"/>
      <c r="F823" s="137"/>
      <c r="G823" s="137"/>
      <c r="H823" s="137"/>
      <c r="I823" s="137"/>
      <c r="J823" s="137"/>
      <c r="K823" s="137"/>
      <c r="L823" s="137"/>
      <c r="M823" s="137"/>
      <c r="N823" s="137"/>
      <c r="O823" s="137"/>
      <c r="P823" s="137"/>
    </row>
    <row r="824" spans="3:16" x14ac:dyDescent="0.25">
      <c r="C824" s="137"/>
      <c r="D824" s="137"/>
      <c r="E824" s="137"/>
      <c r="F824" s="137"/>
      <c r="G824" s="137"/>
      <c r="H824" s="137"/>
      <c r="I824" s="137"/>
      <c r="J824" s="137"/>
      <c r="K824" s="137"/>
      <c r="L824" s="137"/>
      <c r="M824" s="137"/>
      <c r="N824" s="137"/>
      <c r="O824" s="137"/>
      <c r="P824" s="137"/>
    </row>
    <row r="825" spans="3:16" x14ac:dyDescent="0.25">
      <c r="C825" s="137"/>
      <c r="D825" s="137"/>
      <c r="E825" s="137"/>
      <c r="F825" s="137"/>
      <c r="G825" s="137"/>
      <c r="H825" s="137"/>
      <c r="I825" s="137"/>
      <c r="J825" s="137"/>
      <c r="K825" s="137"/>
      <c r="L825" s="137"/>
      <c r="M825" s="137"/>
      <c r="N825" s="137"/>
      <c r="O825" s="137"/>
      <c r="P825" s="137"/>
    </row>
    <row r="826" spans="3:16" x14ac:dyDescent="0.25">
      <c r="C826" s="137"/>
      <c r="D826" s="137"/>
      <c r="E826" s="137"/>
      <c r="F826" s="137"/>
      <c r="G826" s="137"/>
      <c r="H826" s="137"/>
      <c r="I826" s="137"/>
      <c r="J826" s="137"/>
      <c r="K826" s="137"/>
      <c r="L826" s="137"/>
      <c r="M826" s="137"/>
      <c r="N826" s="137"/>
      <c r="O826" s="137"/>
      <c r="P826" s="137"/>
    </row>
    <row r="827" spans="3:16" x14ac:dyDescent="0.25">
      <c r="C827" s="137"/>
      <c r="D827" s="137"/>
      <c r="E827" s="137"/>
      <c r="F827" s="137"/>
      <c r="G827" s="137"/>
      <c r="H827" s="137"/>
      <c r="I827" s="137"/>
      <c r="J827" s="137"/>
      <c r="K827" s="137"/>
      <c r="L827" s="137"/>
      <c r="M827" s="137"/>
      <c r="N827" s="137"/>
      <c r="O827" s="137"/>
      <c r="P827" s="137"/>
    </row>
    <row r="828" spans="3:16" x14ac:dyDescent="0.25">
      <c r="C828" s="137"/>
      <c r="D828" s="137"/>
      <c r="E828" s="137"/>
      <c r="F828" s="137"/>
      <c r="G828" s="137"/>
      <c r="H828" s="137"/>
      <c r="I828" s="137"/>
      <c r="J828" s="137"/>
      <c r="K828" s="137"/>
      <c r="L828" s="137"/>
      <c r="M828" s="137"/>
      <c r="N828" s="137"/>
      <c r="O828" s="137"/>
      <c r="P828" s="137"/>
    </row>
    <row r="829" spans="3:16" x14ac:dyDescent="0.25">
      <c r="C829" s="137"/>
      <c r="D829" s="137"/>
      <c r="E829" s="137"/>
      <c r="F829" s="137"/>
      <c r="G829" s="137"/>
      <c r="H829" s="137"/>
      <c r="I829" s="137"/>
      <c r="J829" s="137"/>
      <c r="K829" s="137"/>
      <c r="L829" s="137"/>
      <c r="M829" s="137"/>
      <c r="N829" s="137"/>
      <c r="O829" s="137"/>
      <c r="P829" s="137"/>
    </row>
    <row r="830" spans="3:16" x14ac:dyDescent="0.25">
      <c r="C830" s="137"/>
      <c r="D830" s="137"/>
      <c r="E830" s="137"/>
      <c r="F830" s="137"/>
      <c r="G830" s="137"/>
      <c r="H830" s="137"/>
      <c r="I830" s="137"/>
      <c r="J830" s="137"/>
      <c r="K830" s="137"/>
      <c r="L830" s="137"/>
      <c r="M830" s="137"/>
      <c r="N830" s="137"/>
      <c r="O830" s="137"/>
      <c r="P830" s="137"/>
    </row>
    <row r="831" spans="3:16" x14ac:dyDescent="0.25">
      <c r="C831" s="137"/>
      <c r="D831" s="137"/>
      <c r="E831" s="137"/>
      <c r="F831" s="137"/>
      <c r="G831" s="137"/>
      <c r="H831" s="137"/>
      <c r="I831" s="137"/>
      <c r="J831" s="137"/>
      <c r="K831" s="137"/>
      <c r="L831" s="137"/>
      <c r="M831" s="137"/>
      <c r="N831" s="137"/>
      <c r="O831" s="137"/>
      <c r="P831" s="137"/>
    </row>
    <row r="832" spans="3:16" x14ac:dyDescent="0.25">
      <c r="C832" s="137"/>
      <c r="D832" s="137"/>
      <c r="E832" s="137"/>
      <c r="F832" s="137"/>
      <c r="G832" s="137"/>
      <c r="H832" s="137"/>
      <c r="I832" s="137"/>
      <c r="J832" s="137"/>
      <c r="K832" s="137"/>
      <c r="L832" s="137"/>
      <c r="M832" s="137"/>
      <c r="N832" s="137"/>
      <c r="O832" s="137"/>
      <c r="P832" s="137"/>
    </row>
    <row r="833" spans="3:16" x14ac:dyDescent="0.25">
      <c r="C833" s="137"/>
      <c r="D833" s="137"/>
      <c r="E833" s="137"/>
      <c r="F833" s="137"/>
      <c r="G833" s="137"/>
      <c r="H833" s="137"/>
      <c r="I833" s="137"/>
      <c r="J833" s="137"/>
      <c r="K833" s="137"/>
      <c r="L833" s="137"/>
      <c r="M833" s="137"/>
      <c r="N833" s="137"/>
      <c r="O833" s="137"/>
      <c r="P833" s="137"/>
    </row>
    <row r="834" spans="3:16" x14ac:dyDescent="0.25">
      <c r="C834" s="137"/>
      <c r="D834" s="137"/>
      <c r="E834" s="137"/>
      <c r="F834" s="137"/>
      <c r="G834" s="137"/>
      <c r="H834" s="137"/>
      <c r="I834" s="137"/>
      <c r="J834" s="137"/>
      <c r="K834" s="137"/>
      <c r="L834" s="137"/>
      <c r="M834" s="137"/>
      <c r="N834" s="137"/>
      <c r="O834" s="137"/>
      <c r="P834" s="137"/>
    </row>
    <row r="835" spans="3:16" x14ac:dyDescent="0.25">
      <c r="C835" s="137"/>
      <c r="D835" s="137"/>
      <c r="E835" s="137"/>
      <c r="F835" s="137"/>
      <c r="G835" s="137"/>
      <c r="H835" s="137"/>
      <c r="I835" s="137"/>
      <c r="J835" s="137"/>
      <c r="K835" s="137"/>
      <c r="L835" s="137"/>
      <c r="M835" s="137"/>
      <c r="N835" s="137"/>
      <c r="O835" s="137"/>
      <c r="P835" s="137"/>
    </row>
    <row r="836" spans="3:16" x14ac:dyDescent="0.25">
      <c r="C836" s="137"/>
      <c r="D836" s="137"/>
      <c r="E836" s="137"/>
      <c r="F836" s="137"/>
      <c r="G836" s="137"/>
      <c r="H836" s="137"/>
      <c r="I836" s="137"/>
      <c r="J836" s="137"/>
      <c r="K836" s="137"/>
      <c r="L836" s="137"/>
      <c r="M836" s="137"/>
      <c r="N836" s="137"/>
      <c r="O836" s="137"/>
      <c r="P836" s="137"/>
    </row>
    <row r="837" spans="3:16" x14ac:dyDescent="0.25">
      <c r="C837" s="137"/>
      <c r="D837" s="137"/>
      <c r="E837" s="137"/>
      <c r="F837" s="137"/>
      <c r="G837" s="137"/>
      <c r="H837" s="137"/>
      <c r="I837" s="137"/>
      <c r="J837" s="137"/>
      <c r="K837" s="137"/>
      <c r="L837" s="137"/>
      <c r="M837" s="137"/>
      <c r="N837" s="137"/>
      <c r="O837" s="137"/>
      <c r="P837" s="137"/>
    </row>
    <row r="838" spans="3:16" x14ac:dyDescent="0.25">
      <c r="C838" s="137"/>
      <c r="D838" s="137"/>
      <c r="E838" s="137"/>
      <c r="F838" s="137"/>
      <c r="G838" s="137"/>
      <c r="H838" s="137"/>
      <c r="I838" s="137"/>
      <c r="J838" s="137"/>
      <c r="K838" s="137"/>
      <c r="L838" s="137"/>
      <c r="M838" s="137"/>
      <c r="N838" s="137"/>
      <c r="O838" s="137"/>
      <c r="P838" s="137"/>
    </row>
    <row r="839" spans="3:16" x14ac:dyDescent="0.25">
      <c r="C839" s="137"/>
      <c r="D839" s="137"/>
      <c r="E839" s="137"/>
      <c r="F839" s="137"/>
      <c r="G839" s="137"/>
      <c r="H839" s="137"/>
      <c r="I839" s="137"/>
      <c r="J839" s="137"/>
      <c r="K839" s="137"/>
      <c r="L839" s="137"/>
      <c r="M839" s="137"/>
      <c r="N839" s="137"/>
      <c r="O839" s="137"/>
      <c r="P839" s="137"/>
    </row>
    <row r="840" spans="3:16" x14ac:dyDescent="0.25">
      <c r="C840" s="137"/>
      <c r="D840" s="137"/>
      <c r="E840" s="137"/>
      <c r="F840" s="137"/>
      <c r="G840" s="137"/>
      <c r="H840" s="137"/>
      <c r="I840" s="137"/>
      <c r="J840" s="137"/>
      <c r="K840" s="137"/>
      <c r="L840" s="137"/>
      <c r="M840" s="137"/>
      <c r="N840" s="137"/>
      <c r="O840" s="137"/>
      <c r="P840" s="137"/>
    </row>
    <row r="841" spans="3:16" x14ac:dyDescent="0.25">
      <c r="C841" s="137"/>
      <c r="D841" s="137"/>
      <c r="E841" s="137"/>
      <c r="F841" s="137"/>
      <c r="G841" s="137"/>
      <c r="H841" s="137"/>
      <c r="I841" s="137"/>
      <c r="J841" s="137"/>
      <c r="K841" s="137"/>
      <c r="L841" s="137"/>
      <c r="M841" s="137"/>
      <c r="N841" s="137"/>
      <c r="O841" s="137"/>
      <c r="P841" s="137"/>
    </row>
    <row r="842" spans="3:16" x14ac:dyDescent="0.25">
      <c r="C842" s="137"/>
      <c r="D842" s="137"/>
      <c r="E842" s="137"/>
      <c r="F842" s="137"/>
      <c r="G842" s="137"/>
      <c r="H842" s="137"/>
      <c r="I842" s="137"/>
      <c r="J842" s="137"/>
      <c r="K842" s="137"/>
      <c r="L842" s="137"/>
      <c r="M842" s="137"/>
      <c r="N842" s="137"/>
      <c r="O842" s="137"/>
      <c r="P842" s="137"/>
    </row>
    <row r="843" spans="3:16" x14ac:dyDescent="0.25">
      <c r="C843" s="137"/>
      <c r="D843" s="137"/>
      <c r="E843" s="137"/>
      <c r="F843" s="137"/>
      <c r="G843" s="137"/>
      <c r="H843" s="137"/>
      <c r="I843" s="137"/>
      <c r="J843" s="137"/>
      <c r="K843" s="137"/>
      <c r="L843" s="137"/>
      <c r="M843" s="137"/>
      <c r="N843" s="137"/>
      <c r="O843" s="137"/>
      <c r="P843" s="137"/>
    </row>
    <row r="844" spans="3:16" x14ac:dyDescent="0.25">
      <c r="C844" s="137"/>
      <c r="D844" s="137"/>
      <c r="E844" s="137"/>
      <c r="F844" s="137"/>
      <c r="G844" s="137"/>
      <c r="H844" s="137"/>
      <c r="I844" s="137"/>
      <c r="J844" s="137"/>
      <c r="K844" s="137"/>
      <c r="L844" s="137"/>
      <c r="M844" s="137"/>
      <c r="N844" s="137"/>
      <c r="O844" s="137"/>
      <c r="P844" s="137"/>
    </row>
    <row r="845" spans="3:16" x14ac:dyDescent="0.25">
      <c r="C845" s="137"/>
      <c r="D845" s="137"/>
      <c r="E845" s="137"/>
      <c r="F845" s="137"/>
      <c r="G845" s="137"/>
      <c r="H845" s="137"/>
      <c r="I845" s="137"/>
      <c r="J845" s="137"/>
      <c r="K845" s="137"/>
      <c r="L845" s="137"/>
      <c r="M845" s="137"/>
      <c r="N845" s="137"/>
      <c r="O845" s="137"/>
      <c r="P845" s="137"/>
    </row>
    <row r="846" spans="3:16" x14ac:dyDescent="0.25">
      <c r="C846" s="137"/>
      <c r="D846" s="137"/>
      <c r="E846" s="137"/>
      <c r="F846" s="137"/>
      <c r="G846" s="137"/>
      <c r="H846" s="137"/>
      <c r="I846" s="137"/>
      <c r="J846" s="137"/>
      <c r="K846" s="137"/>
      <c r="L846" s="137"/>
      <c r="M846" s="137"/>
      <c r="N846" s="137"/>
      <c r="O846" s="137"/>
      <c r="P846" s="137"/>
    </row>
    <row r="847" spans="3:16" x14ac:dyDescent="0.25">
      <c r="C847" s="137"/>
      <c r="D847" s="137"/>
      <c r="E847" s="137"/>
      <c r="F847" s="137"/>
      <c r="G847" s="137"/>
      <c r="H847" s="137"/>
      <c r="I847" s="137"/>
      <c r="J847" s="137"/>
      <c r="K847" s="137"/>
      <c r="L847" s="137"/>
      <c r="M847" s="137"/>
      <c r="N847" s="137"/>
      <c r="O847" s="137"/>
      <c r="P847" s="137"/>
    </row>
    <row r="848" spans="3:16" x14ac:dyDescent="0.25">
      <c r="C848" s="137"/>
      <c r="D848" s="137"/>
      <c r="E848" s="137"/>
      <c r="F848" s="137"/>
      <c r="G848" s="137"/>
      <c r="H848" s="137"/>
      <c r="I848" s="137"/>
      <c r="J848" s="137"/>
      <c r="K848" s="137"/>
      <c r="L848" s="137"/>
      <c r="M848" s="137"/>
      <c r="N848" s="137"/>
      <c r="O848" s="137"/>
      <c r="P848" s="137"/>
    </row>
    <row r="849" spans="3:16" x14ac:dyDescent="0.25">
      <c r="C849" s="137"/>
      <c r="D849" s="137"/>
      <c r="E849" s="137"/>
      <c r="F849" s="137"/>
      <c r="G849" s="137"/>
      <c r="H849" s="137"/>
      <c r="I849" s="137"/>
      <c r="J849" s="137"/>
      <c r="K849" s="137"/>
      <c r="L849" s="137"/>
      <c r="M849" s="137"/>
      <c r="N849" s="137"/>
      <c r="O849" s="137"/>
      <c r="P849" s="137"/>
    </row>
    <row r="850" spans="3:16" x14ac:dyDescent="0.25">
      <c r="C850" s="137"/>
      <c r="D850" s="137"/>
      <c r="E850" s="137"/>
      <c r="F850" s="137"/>
      <c r="G850" s="137"/>
      <c r="H850" s="137"/>
      <c r="I850" s="137"/>
      <c r="J850" s="137"/>
      <c r="K850" s="137"/>
      <c r="L850" s="137"/>
      <c r="M850" s="137"/>
      <c r="N850" s="137"/>
      <c r="O850" s="137"/>
      <c r="P850" s="137"/>
    </row>
    <row r="851" spans="3:16" x14ac:dyDescent="0.25">
      <c r="C851" s="137"/>
      <c r="D851" s="137"/>
      <c r="E851" s="137"/>
      <c r="F851" s="137"/>
      <c r="G851" s="137"/>
      <c r="H851" s="137"/>
      <c r="I851" s="137"/>
      <c r="J851" s="137"/>
      <c r="K851" s="137"/>
      <c r="L851" s="137"/>
      <c r="M851" s="137"/>
      <c r="N851" s="137"/>
      <c r="O851" s="137"/>
      <c r="P851" s="137"/>
    </row>
    <row r="852" spans="3:16" x14ac:dyDescent="0.25">
      <c r="C852" s="137"/>
      <c r="D852" s="137"/>
      <c r="E852" s="137"/>
      <c r="F852" s="137"/>
      <c r="G852" s="137"/>
      <c r="H852" s="137"/>
      <c r="I852" s="137"/>
      <c r="J852" s="137"/>
      <c r="K852" s="137"/>
      <c r="L852" s="137"/>
      <c r="M852" s="137"/>
      <c r="N852" s="137"/>
      <c r="O852" s="137"/>
      <c r="P852" s="137"/>
    </row>
    <row r="853" spans="3:16" x14ac:dyDescent="0.25">
      <c r="C853" s="137"/>
      <c r="D853" s="137"/>
      <c r="E853" s="137"/>
      <c r="F853" s="137"/>
      <c r="G853" s="137"/>
      <c r="H853" s="137"/>
      <c r="I853" s="137"/>
      <c r="J853" s="137"/>
      <c r="K853" s="137"/>
      <c r="L853" s="137"/>
      <c r="M853" s="137"/>
      <c r="N853" s="137"/>
      <c r="O853" s="137"/>
      <c r="P853" s="137"/>
    </row>
    <row r="854" spans="3:16" x14ac:dyDescent="0.25">
      <c r="C854" s="137"/>
      <c r="D854" s="137"/>
      <c r="E854" s="137"/>
      <c r="F854" s="137"/>
      <c r="G854" s="137"/>
      <c r="H854" s="137"/>
      <c r="I854" s="137"/>
      <c r="J854" s="137"/>
      <c r="K854" s="137"/>
      <c r="L854" s="137"/>
      <c r="M854" s="137"/>
      <c r="N854" s="137"/>
      <c r="O854" s="137"/>
      <c r="P854" s="137"/>
    </row>
    <row r="855" spans="3:16" x14ac:dyDescent="0.25">
      <c r="C855" s="137"/>
      <c r="D855" s="137"/>
      <c r="E855" s="137"/>
      <c r="F855" s="137"/>
      <c r="G855" s="137"/>
      <c r="H855" s="137"/>
      <c r="I855" s="137"/>
      <c r="J855" s="137"/>
      <c r="K855" s="137"/>
      <c r="L855" s="137"/>
      <c r="M855" s="137"/>
      <c r="N855" s="137"/>
      <c r="O855" s="137"/>
      <c r="P855" s="137"/>
    </row>
    <row r="856" spans="3:16" x14ac:dyDescent="0.25">
      <c r="C856" s="137"/>
      <c r="D856" s="137"/>
      <c r="E856" s="137"/>
      <c r="F856" s="137"/>
      <c r="G856" s="137"/>
      <c r="H856" s="137"/>
      <c r="I856" s="137"/>
      <c r="J856" s="137"/>
      <c r="K856" s="137"/>
      <c r="L856" s="137"/>
      <c r="M856" s="137"/>
      <c r="N856" s="137"/>
      <c r="O856" s="137"/>
      <c r="P856" s="137"/>
    </row>
    <row r="857" spans="3:16" x14ac:dyDescent="0.25">
      <c r="C857" s="137"/>
      <c r="D857" s="137"/>
      <c r="E857" s="137"/>
      <c r="F857" s="137"/>
      <c r="G857" s="137"/>
      <c r="H857" s="137"/>
      <c r="I857" s="137"/>
      <c r="J857" s="137"/>
      <c r="K857" s="137"/>
      <c r="L857" s="137"/>
      <c r="M857" s="137"/>
      <c r="N857" s="137"/>
      <c r="O857" s="137"/>
      <c r="P857" s="137"/>
    </row>
    <row r="858" spans="3:16" x14ac:dyDescent="0.25">
      <c r="C858" s="137"/>
      <c r="D858" s="137"/>
      <c r="E858" s="137"/>
      <c r="F858" s="137"/>
      <c r="G858" s="137"/>
      <c r="H858" s="137"/>
      <c r="I858" s="137"/>
      <c r="J858" s="137"/>
      <c r="K858" s="137"/>
      <c r="L858" s="137"/>
      <c r="M858" s="137"/>
      <c r="N858" s="137"/>
      <c r="O858" s="137"/>
      <c r="P858" s="137"/>
    </row>
    <row r="859" spans="3:16" x14ac:dyDescent="0.25">
      <c r="C859" s="137"/>
      <c r="D859" s="137"/>
      <c r="E859" s="137"/>
      <c r="F859" s="137"/>
      <c r="G859" s="137"/>
      <c r="H859" s="137"/>
      <c r="I859" s="137"/>
      <c r="J859" s="137"/>
      <c r="K859" s="137"/>
      <c r="L859" s="137"/>
      <c r="M859" s="137"/>
      <c r="N859" s="137"/>
      <c r="O859" s="137"/>
      <c r="P859" s="137"/>
    </row>
    <row r="860" spans="3:16" x14ac:dyDescent="0.25">
      <c r="C860" s="137"/>
      <c r="D860" s="137"/>
      <c r="E860" s="137"/>
      <c r="F860" s="137"/>
      <c r="G860" s="137"/>
      <c r="H860" s="137"/>
      <c r="I860" s="137"/>
      <c r="J860" s="137"/>
      <c r="K860" s="137"/>
      <c r="L860" s="137"/>
      <c r="M860" s="137"/>
      <c r="N860" s="137"/>
      <c r="O860" s="137"/>
      <c r="P860" s="137"/>
    </row>
    <row r="861" spans="3:16" x14ac:dyDescent="0.25">
      <c r="C861" s="137"/>
      <c r="D861" s="137"/>
      <c r="E861" s="137"/>
      <c r="F861" s="137"/>
      <c r="G861" s="137"/>
      <c r="H861" s="137"/>
      <c r="I861" s="137"/>
      <c r="J861" s="137"/>
      <c r="K861" s="137"/>
      <c r="L861" s="137"/>
      <c r="M861" s="137"/>
      <c r="N861" s="137"/>
      <c r="O861" s="137"/>
      <c r="P861" s="137"/>
    </row>
    <row r="862" spans="3:16" x14ac:dyDescent="0.25">
      <c r="C862" s="137"/>
      <c r="D862" s="137"/>
      <c r="E862" s="137"/>
      <c r="F862" s="137"/>
      <c r="G862" s="137"/>
      <c r="H862" s="137"/>
      <c r="I862" s="137"/>
      <c r="J862" s="137"/>
      <c r="K862" s="137"/>
      <c r="L862" s="137"/>
      <c r="M862" s="137"/>
      <c r="N862" s="137"/>
      <c r="O862" s="137"/>
      <c r="P862" s="137"/>
    </row>
    <row r="863" spans="3:16" x14ac:dyDescent="0.25">
      <c r="C863" s="137"/>
      <c r="D863" s="137"/>
      <c r="E863" s="137"/>
      <c r="F863" s="137"/>
      <c r="G863" s="137"/>
      <c r="H863" s="137"/>
      <c r="I863" s="137"/>
      <c r="J863" s="137"/>
      <c r="K863" s="137"/>
      <c r="L863" s="137"/>
      <c r="M863" s="137"/>
      <c r="N863" s="137"/>
      <c r="O863" s="137"/>
      <c r="P863" s="137"/>
    </row>
    <row r="864" spans="3:16" x14ac:dyDescent="0.25">
      <c r="C864" s="137"/>
      <c r="D864" s="137"/>
      <c r="E864" s="137"/>
      <c r="F864" s="137"/>
      <c r="G864" s="137"/>
      <c r="H864" s="137"/>
      <c r="I864" s="137"/>
      <c r="J864" s="137"/>
      <c r="K864" s="137"/>
      <c r="L864" s="137"/>
      <c r="M864" s="137"/>
      <c r="N864" s="137"/>
      <c r="O864" s="137"/>
      <c r="P864" s="137"/>
    </row>
    <row r="865" spans="3:16" x14ac:dyDescent="0.25">
      <c r="C865" s="137"/>
      <c r="D865" s="137"/>
      <c r="E865" s="137"/>
      <c r="F865" s="137"/>
      <c r="G865" s="137"/>
      <c r="H865" s="137"/>
      <c r="I865" s="137"/>
      <c r="J865" s="137"/>
      <c r="K865" s="137"/>
      <c r="L865" s="137"/>
      <c r="M865" s="137"/>
      <c r="N865" s="137"/>
      <c r="O865" s="137"/>
      <c r="P865" s="137"/>
    </row>
    <row r="866" spans="3:16" x14ac:dyDescent="0.25">
      <c r="C866" s="137"/>
      <c r="D866" s="137"/>
      <c r="E866" s="137"/>
      <c r="F866" s="137"/>
      <c r="G866" s="137"/>
      <c r="H866" s="137"/>
      <c r="I866" s="137"/>
      <c r="J866" s="137"/>
      <c r="K866" s="137"/>
      <c r="L866" s="137"/>
      <c r="M866" s="137"/>
      <c r="N866" s="137"/>
      <c r="O866" s="137"/>
      <c r="P866" s="137"/>
    </row>
    <row r="867" spans="3:16" x14ac:dyDescent="0.25">
      <c r="C867" s="137"/>
      <c r="D867" s="137"/>
      <c r="E867" s="137"/>
      <c r="F867" s="137"/>
      <c r="G867" s="137"/>
      <c r="H867" s="137"/>
      <c r="I867" s="137"/>
      <c r="J867" s="137"/>
      <c r="K867" s="137"/>
      <c r="L867" s="137"/>
      <c r="M867" s="137"/>
      <c r="N867" s="137"/>
      <c r="O867" s="137"/>
      <c r="P867" s="137"/>
    </row>
    <row r="868" spans="3:16" x14ac:dyDescent="0.25">
      <c r="C868" s="137"/>
      <c r="D868" s="137"/>
      <c r="E868" s="137"/>
      <c r="F868" s="137"/>
      <c r="G868" s="137"/>
      <c r="H868" s="137"/>
      <c r="I868" s="137"/>
      <c r="J868" s="137"/>
      <c r="K868" s="137"/>
      <c r="L868" s="137"/>
      <c r="M868" s="137"/>
      <c r="N868" s="137"/>
      <c r="O868" s="137"/>
      <c r="P868" s="137"/>
    </row>
    <row r="869" spans="3:16" x14ac:dyDescent="0.25">
      <c r="C869" s="137"/>
      <c r="D869" s="137"/>
      <c r="E869" s="137"/>
      <c r="F869" s="137"/>
      <c r="G869" s="137"/>
      <c r="H869" s="137"/>
      <c r="I869" s="137"/>
      <c r="J869" s="137"/>
      <c r="K869" s="137"/>
      <c r="L869" s="137"/>
      <c r="M869" s="137"/>
      <c r="N869" s="137"/>
      <c r="O869" s="137"/>
      <c r="P869" s="137"/>
    </row>
    <row r="870" spans="3:16" x14ac:dyDescent="0.25">
      <c r="C870" s="137"/>
      <c r="D870" s="137"/>
      <c r="E870" s="137"/>
      <c r="F870" s="137"/>
      <c r="G870" s="137"/>
      <c r="H870" s="137"/>
      <c r="I870" s="137"/>
      <c r="J870" s="137"/>
      <c r="K870" s="137"/>
      <c r="L870" s="137"/>
      <c r="M870" s="137"/>
      <c r="N870" s="137"/>
      <c r="O870" s="137"/>
      <c r="P870" s="137"/>
    </row>
    <row r="871" spans="3:16" x14ac:dyDescent="0.25">
      <c r="C871" s="137"/>
      <c r="D871" s="137"/>
      <c r="E871" s="137"/>
      <c r="F871" s="137"/>
      <c r="G871" s="137"/>
      <c r="H871" s="137"/>
      <c r="I871" s="137"/>
      <c r="J871" s="137"/>
      <c r="K871" s="137"/>
      <c r="L871" s="137"/>
      <c r="M871" s="137"/>
      <c r="N871" s="137"/>
      <c r="O871" s="137"/>
      <c r="P871" s="137"/>
    </row>
    <row r="872" spans="3:16" x14ac:dyDescent="0.25">
      <c r="C872" s="137"/>
      <c r="D872" s="137"/>
      <c r="E872" s="137"/>
      <c r="F872" s="137"/>
      <c r="G872" s="137"/>
      <c r="H872" s="137"/>
      <c r="I872" s="137"/>
      <c r="J872" s="137"/>
      <c r="K872" s="137"/>
      <c r="L872" s="137"/>
      <c r="M872" s="137"/>
      <c r="N872" s="137"/>
      <c r="O872" s="137"/>
      <c r="P872" s="137"/>
    </row>
    <row r="873" spans="3:16" x14ac:dyDescent="0.25">
      <c r="C873" s="137"/>
      <c r="D873" s="137"/>
      <c r="E873" s="137"/>
      <c r="F873" s="137"/>
      <c r="G873" s="137"/>
      <c r="H873" s="137"/>
      <c r="I873" s="137"/>
      <c r="J873" s="137"/>
      <c r="K873" s="137"/>
      <c r="L873" s="137"/>
      <c r="M873" s="137"/>
      <c r="N873" s="137"/>
      <c r="O873" s="137"/>
      <c r="P873" s="137"/>
    </row>
    <row r="874" spans="3:16" x14ac:dyDescent="0.25">
      <c r="C874" s="137"/>
      <c r="D874" s="137"/>
      <c r="E874" s="137"/>
      <c r="F874" s="137"/>
      <c r="G874" s="137"/>
      <c r="H874" s="137"/>
      <c r="I874" s="137"/>
      <c r="J874" s="137"/>
      <c r="K874" s="137"/>
      <c r="L874" s="137"/>
      <c r="M874" s="137"/>
      <c r="N874" s="137"/>
      <c r="O874" s="137"/>
      <c r="P874" s="137"/>
    </row>
    <row r="875" spans="3:16" x14ac:dyDescent="0.25">
      <c r="C875" s="137"/>
      <c r="D875" s="137"/>
      <c r="E875" s="137"/>
      <c r="F875" s="137"/>
      <c r="G875" s="137"/>
      <c r="H875" s="137"/>
      <c r="I875" s="137"/>
      <c r="J875" s="137"/>
      <c r="K875" s="137"/>
      <c r="L875" s="137"/>
      <c r="M875" s="137"/>
      <c r="N875" s="137"/>
      <c r="O875" s="137"/>
      <c r="P875" s="137"/>
    </row>
    <row r="876" spans="3:16" x14ac:dyDescent="0.25">
      <c r="C876" s="137"/>
      <c r="D876" s="137"/>
      <c r="E876" s="137"/>
      <c r="F876" s="137"/>
      <c r="G876" s="137"/>
      <c r="H876" s="137"/>
      <c r="I876" s="137"/>
      <c r="J876" s="137"/>
      <c r="K876" s="137"/>
      <c r="L876" s="137"/>
      <c r="M876" s="137"/>
      <c r="N876" s="137"/>
      <c r="O876" s="137"/>
      <c r="P876" s="137"/>
    </row>
    <row r="877" spans="3:16" x14ac:dyDescent="0.25">
      <c r="C877" s="137"/>
      <c r="D877" s="137"/>
      <c r="E877" s="137"/>
      <c r="F877" s="137"/>
      <c r="G877" s="137"/>
      <c r="H877" s="137"/>
      <c r="I877" s="137"/>
      <c r="J877" s="137"/>
      <c r="K877" s="137"/>
      <c r="L877" s="137"/>
      <c r="M877" s="137"/>
      <c r="N877" s="137"/>
      <c r="O877" s="137"/>
      <c r="P877" s="137"/>
    </row>
    <row r="878" spans="3:16" x14ac:dyDescent="0.25">
      <c r="C878" s="137"/>
      <c r="D878" s="137"/>
      <c r="E878" s="137"/>
      <c r="F878" s="137"/>
      <c r="G878" s="137"/>
      <c r="H878" s="137"/>
      <c r="I878" s="137"/>
      <c r="J878" s="137"/>
      <c r="K878" s="137"/>
      <c r="L878" s="137"/>
      <c r="M878" s="137"/>
      <c r="N878" s="137"/>
      <c r="O878" s="137"/>
      <c r="P878" s="137"/>
    </row>
    <row r="879" spans="3:16" x14ac:dyDescent="0.25">
      <c r="C879" s="137"/>
      <c r="D879" s="137"/>
      <c r="E879" s="137"/>
      <c r="F879" s="137"/>
      <c r="G879" s="137"/>
      <c r="H879" s="137"/>
      <c r="I879" s="137"/>
      <c r="J879" s="137"/>
      <c r="K879" s="137"/>
      <c r="L879" s="137"/>
      <c r="M879" s="137"/>
      <c r="N879" s="137"/>
      <c r="O879" s="137"/>
      <c r="P879" s="137"/>
    </row>
    <row r="880" spans="3:16" x14ac:dyDescent="0.25">
      <c r="C880" s="137"/>
      <c r="D880" s="137"/>
      <c r="E880" s="137"/>
      <c r="F880" s="137"/>
      <c r="G880" s="137"/>
      <c r="H880" s="137"/>
      <c r="I880" s="137"/>
      <c r="J880" s="137"/>
      <c r="K880" s="137"/>
      <c r="L880" s="137"/>
      <c r="M880" s="137"/>
      <c r="N880" s="137"/>
      <c r="O880" s="137"/>
      <c r="P880" s="137"/>
    </row>
    <row r="881" spans="3:16" x14ac:dyDescent="0.25">
      <c r="C881" s="137"/>
      <c r="D881" s="137"/>
      <c r="E881" s="137"/>
      <c r="F881" s="137"/>
      <c r="G881" s="137"/>
      <c r="H881" s="137"/>
      <c r="I881" s="137"/>
      <c r="J881" s="137"/>
      <c r="K881" s="137"/>
      <c r="L881" s="137"/>
      <c r="M881" s="137"/>
      <c r="N881" s="137"/>
      <c r="O881" s="137"/>
      <c r="P881" s="137"/>
    </row>
    <row r="882" spans="3:16" x14ac:dyDescent="0.25">
      <c r="C882" s="137"/>
      <c r="D882" s="137"/>
      <c r="E882" s="137"/>
      <c r="F882" s="137"/>
      <c r="G882" s="137"/>
      <c r="H882" s="137"/>
      <c r="I882" s="137"/>
      <c r="J882" s="137"/>
      <c r="K882" s="137"/>
      <c r="L882" s="137"/>
      <c r="M882" s="137"/>
      <c r="N882" s="137"/>
      <c r="O882" s="137"/>
      <c r="P882" s="137"/>
    </row>
    <row r="883" spans="3:16" x14ac:dyDescent="0.25">
      <c r="C883" s="137"/>
      <c r="D883" s="137"/>
      <c r="E883" s="137"/>
      <c r="F883" s="137"/>
      <c r="G883" s="137"/>
      <c r="H883" s="137"/>
      <c r="I883" s="137"/>
      <c r="J883" s="137"/>
      <c r="K883" s="137"/>
      <c r="L883" s="137"/>
      <c r="M883" s="137"/>
      <c r="N883" s="137"/>
      <c r="O883" s="137"/>
      <c r="P883" s="137"/>
    </row>
    <row r="884" spans="3:16" x14ac:dyDescent="0.25">
      <c r="C884" s="137"/>
      <c r="D884" s="137"/>
      <c r="E884" s="137"/>
      <c r="F884" s="137"/>
      <c r="G884" s="137"/>
      <c r="H884" s="137"/>
      <c r="I884" s="137"/>
      <c r="J884" s="137"/>
      <c r="K884" s="137"/>
      <c r="L884" s="137"/>
      <c r="M884" s="137"/>
      <c r="N884" s="137"/>
      <c r="O884" s="137"/>
      <c r="P884" s="137"/>
    </row>
    <row r="885" spans="3:16" x14ac:dyDescent="0.25">
      <c r="C885" s="137"/>
      <c r="D885" s="137"/>
      <c r="E885" s="137"/>
      <c r="F885" s="137"/>
      <c r="G885" s="137"/>
      <c r="H885" s="137"/>
      <c r="I885" s="137"/>
      <c r="J885" s="137"/>
      <c r="K885" s="137"/>
      <c r="L885" s="137"/>
      <c r="M885" s="137"/>
      <c r="N885" s="137"/>
      <c r="O885" s="137"/>
      <c r="P885" s="137"/>
    </row>
    <row r="886" spans="3:16" x14ac:dyDescent="0.25">
      <c r="C886" s="137"/>
      <c r="D886" s="137"/>
      <c r="E886" s="137"/>
      <c r="F886" s="137"/>
      <c r="G886" s="137"/>
      <c r="H886" s="137"/>
      <c r="I886" s="137"/>
      <c r="J886" s="137"/>
      <c r="K886" s="137"/>
      <c r="L886" s="137"/>
      <c r="M886" s="137"/>
      <c r="N886" s="137"/>
      <c r="O886" s="137"/>
      <c r="P886" s="137"/>
    </row>
    <row r="887" spans="3:16" x14ac:dyDescent="0.25">
      <c r="C887" s="137"/>
      <c r="D887" s="137"/>
      <c r="E887" s="137"/>
      <c r="F887" s="137"/>
      <c r="G887" s="137"/>
      <c r="H887" s="137"/>
      <c r="I887" s="137"/>
      <c r="J887" s="137"/>
      <c r="K887" s="137"/>
      <c r="L887" s="137"/>
      <c r="M887" s="137"/>
      <c r="N887" s="137"/>
      <c r="O887" s="137"/>
      <c r="P887" s="137"/>
    </row>
    <row r="888" spans="3:16" x14ac:dyDescent="0.25">
      <c r="C888" s="137"/>
      <c r="D888" s="137"/>
      <c r="E888" s="137"/>
      <c r="F888" s="137"/>
      <c r="G888" s="137"/>
      <c r="H888" s="137"/>
      <c r="I888" s="137"/>
      <c r="J888" s="137"/>
      <c r="K888" s="137"/>
      <c r="L888" s="137"/>
      <c r="M888" s="137"/>
      <c r="N888" s="137"/>
      <c r="O888" s="137"/>
      <c r="P888" s="137"/>
    </row>
    <row r="889" spans="3:16" x14ac:dyDescent="0.25">
      <c r="C889" s="137"/>
      <c r="D889" s="137"/>
      <c r="E889" s="137"/>
      <c r="F889" s="137"/>
      <c r="G889" s="137"/>
      <c r="H889" s="137"/>
      <c r="I889" s="137"/>
      <c r="J889" s="137"/>
      <c r="K889" s="137"/>
      <c r="L889" s="137"/>
      <c r="M889" s="137"/>
      <c r="N889" s="137"/>
      <c r="O889" s="137"/>
      <c r="P889" s="137"/>
    </row>
    <row r="890" spans="3:16" x14ac:dyDescent="0.25">
      <c r="C890" s="137"/>
      <c r="D890" s="137"/>
      <c r="E890" s="137"/>
      <c r="F890" s="137"/>
      <c r="G890" s="137"/>
      <c r="H890" s="137"/>
      <c r="I890" s="137"/>
      <c r="J890" s="137"/>
      <c r="K890" s="137"/>
      <c r="L890" s="137"/>
      <c r="M890" s="137"/>
      <c r="N890" s="137"/>
      <c r="O890" s="137"/>
      <c r="P890" s="137"/>
    </row>
    <row r="891" spans="3:16" x14ac:dyDescent="0.25">
      <c r="C891" s="137"/>
      <c r="D891" s="137"/>
      <c r="E891" s="137"/>
      <c r="F891" s="137"/>
      <c r="G891" s="137"/>
      <c r="H891" s="137"/>
      <c r="I891" s="137"/>
      <c r="J891" s="137"/>
      <c r="K891" s="137"/>
      <c r="L891" s="137"/>
      <c r="M891" s="137"/>
      <c r="N891" s="137"/>
      <c r="O891" s="137"/>
      <c r="P891" s="137"/>
    </row>
    <row r="892" spans="3:16" x14ac:dyDescent="0.25">
      <c r="C892" s="137"/>
      <c r="D892" s="137"/>
      <c r="E892" s="137"/>
      <c r="F892" s="137"/>
      <c r="G892" s="137"/>
      <c r="H892" s="137"/>
      <c r="I892" s="137"/>
      <c r="J892" s="137"/>
      <c r="K892" s="137"/>
      <c r="L892" s="137"/>
      <c r="M892" s="137"/>
      <c r="N892" s="137"/>
      <c r="O892" s="137"/>
      <c r="P892" s="137"/>
    </row>
    <row r="893" spans="3:16" x14ac:dyDescent="0.25">
      <c r="C893" s="137"/>
      <c r="D893" s="137"/>
      <c r="E893" s="137"/>
      <c r="F893" s="137"/>
      <c r="G893" s="137"/>
      <c r="H893" s="137"/>
      <c r="I893" s="137"/>
      <c r="J893" s="137"/>
      <c r="K893" s="137"/>
      <c r="L893" s="137"/>
      <c r="M893" s="137"/>
      <c r="N893" s="137"/>
      <c r="O893" s="137"/>
      <c r="P893" s="137"/>
    </row>
    <row r="894" spans="3:16" x14ac:dyDescent="0.25">
      <c r="C894" s="137"/>
      <c r="D894" s="137"/>
      <c r="E894" s="137"/>
      <c r="F894" s="137"/>
      <c r="G894" s="137"/>
      <c r="H894" s="137"/>
      <c r="I894" s="137"/>
      <c r="J894" s="137"/>
      <c r="K894" s="137"/>
      <c r="L894" s="137"/>
      <c r="M894" s="137"/>
      <c r="N894" s="137"/>
      <c r="O894" s="137"/>
      <c r="P894" s="137"/>
    </row>
    <row r="895" spans="3:16" x14ac:dyDescent="0.25">
      <c r="C895" s="137"/>
      <c r="D895" s="137"/>
      <c r="E895" s="137"/>
      <c r="F895" s="137"/>
      <c r="G895" s="137"/>
      <c r="H895" s="137"/>
      <c r="I895" s="137"/>
      <c r="J895" s="137"/>
      <c r="K895" s="137"/>
      <c r="L895" s="137"/>
      <c r="M895" s="137"/>
      <c r="N895" s="137"/>
      <c r="O895" s="137"/>
      <c r="P895" s="137"/>
    </row>
    <row r="896" spans="3:16" x14ac:dyDescent="0.25">
      <c r="C896" s="137"/>
      <c r="D896" s="137"/>
      <c r="E896" s="137"/>
      <c r="F896" s="137"/>
      <c r="G896" s="137"/>
      <c r="H896" s="137"/>
      <c r="I896" s="137"/>
      <c r="J896" s="137"/>
      <c r="K896" s="137"/>
      <c r="L896" s="137"/>
      <c r="M896" s="137"/>
      <c r="N896" s="137"/>
      <c r="O896" s="137"/>
      <c r="P896" s="137"/>
    </row>
    <row r="897" spans="3:16" x14ac:dyDescent="0.25">
      <c r="C897" s="137"/>
      <c r="D897" s="137"/>
      <c r="E897" s="137"/>
      <c r="F897" s="137"/>
      <c r="G897" s="137"/>
      <c r="H897" s="137"/>
      <c r="I897" s="137"/>
      <c r="J897" s="137"/>
      <c r="K897" s="137"/>
      <c r="L897" s="137"/>
      <c r="M897" s="137"/>
      <c r="N897" s="137"/>
      <c r="O897" s="137"/>
      <c r="P897" s="137"/>
    </row>
    <row r="898" spans="3:16" x14ac:dyDescent="0.25">
      <c r="C898" s="137"/>
      <c r="D898" s="137"/>
      <c r="E898" s="137"/>
      <c r="F898" s="137"/>
      <c r="G898" s="137"/>
      <c r="H898" s="137"/>
      <c r="I898" s="137"/>
      <c r="J898" s="137"/>
      <c r="K898" s="137"/>
      <c r="L898" s="137"/>
      <c r="M898" s="137"/>
      <c r="N898" s="137"/>
      <c r="O898" s="137"/>
      <c r="P898" s="137"/>
    </row>
    <row r="899" spans="3:16" x14ac:dyDescent="0.25">
      <c r="C899" s="137"/>
      <c r="D899" s="137"/>
      <c r="E899" s="137"/>
      <c r="F899" s="137"/>
      <c r="G899" s="137"/>
      <c r="H899" s="137"/>
      <c r="I899" s="137"/>
      <c r="J899" s="137"/>
      <c r="K899" s="137"/>
      <c r="L899" s="137"/>
      <c r="M899" s="137"/>
      <c r="N899" s="137"/>
      <c r="O899" s="137"/>
      <c r="P899" s="137"/>
    </row>
    <row r="900" spans="3:16" x14ac:dyDescent="0.25">
      <c r="C900" s="137"/>
      <c r="D900" s="137"/>
      <c r="E900" s="137"/>
      <c r="F900" s="137"/>
      <c r="G900" s="137"/>
      <c r="H900" s="137"/>
      <c r="I900" s="137"/>
      <c r="J900" s="137"/>
      <c r="K900" s="137"/>
      <c r="L900" s="137"/>
      <c r="M900" s="137"/>
      <c r="N900" s="137"/>
      <c r="O900" s="137"/>
      <c r="P900" s="137"/>
    </row>
    <row r="901" spans="3:16" x14ac:dyDescent="0.25">
      <c r="C901" s="137"/>
      <c r="D901" s="137"/>
      <c r="E901" s="137"/>
      <c r="F901" s="137"/>
      <c r="G901" s="137"/>
      <c r="H901" s="137"/>
      <c r="I901" s="137"/>
      <c r="J901" s="137"/>
      <c r="K901" s="137"/>
      <c r="L901" s="137"/>
      <c r="M901" s="137"/>
      <c r="N901" s="137"/>
      <c r="O901" s="137"/>
      <c r="P901" s="137"/>
    </row>
    <row r="902" spans="3:16" x14ac:dyDescent="0.25">
      <c r="C902" s="137"/>
      <c r="D902" s="137"/>
      <c r="E902" s="137"/>
      <c r="F902" s="137"/>
      <c r="G902" s="137"/>
      <c r="H902" s="137"/>
      <c r="I902" s="137"/>
      <c r="J902" s="137"/>
      <c r="K902" s="137"/>
      <c r="L902" s="137"/>
      <c r="M902" s="137"/>
      <c r="N902" s="137"/>
      <c r="O902" s="137"/>
      <c r="P902" s="137"/>
    </row>
    <row r="903" spans="3:16" x14ac:dyDescent="0.25">
      <c r="C903" s="137"/>
      <c r="D903" s="137"/>
      <c r="E903" s="137"/>
      <c r="F903" s="137"/>
      <c r="G903" s="137"/>
      <c r="H903" s="137"/>
      <c r="I903" s="137"/>
      <c r="J903" s="137"/>
      <c r="K903" s="137"/>
      <c r="L903" s="137"/>
      <c r="M903" s="137"/>
      <c r="N903" s="137"/>
      <c r="O903" s="137"/>
      <c r="P903" s="137"/>
    </row>
    <row r="904" spans="3:16" x14ac:dyDescent="0.25">
      <c r="C904" s="137"/>
      <c r="D904" s="137"/>
      <c r="E904" s="137"/>
      <c r="F904" s="137"/>
      <c r="G904" s="137"/>
      <c r="H904" s="137"/>
      <c r="I904" s="137"/>
      <c r="J904" s="137"/>
      <c r="K904" s="137"/>
      <c r="L904" s="137"/>
      <c r="M904" s="137"/>
      <c r="N904" s="137"/>
      <c r="O904" s="137"/>
      <c r="P904" s="137"/>
    </row>
    <row r="905" spans="3:16" x14ac:dyDescent="0.25">
      <c r="C905" s="137"/>
      <c r="D905" s="137"/>
      <c r="E905" s="137"/>
      <c r="F905" s="137"/>
      <c r="G905" s="137"/>
      <c r="H905" s="137"/>
      <c r="I905" s="137"/>
      <c r="J905" s="137"/>
      <c r="K905" s="137"/>
      <c r="L905" s="137"/>
      <c r="M905" s="137"/>
      <c r="N905" s="137"/>
      <c r="O905" s="137"/>
      <c r="P905" s="137"/>
    </row>
    <row r="906" spans="3:16" x14ac:dyDescent="0.25">
      <c r="C906" s="137"/>
      <c r="D906" s="137"/>
      <c r="E906" s="137"/>
      <c r="F906" s="137"/>
      <c r="G906" s="137"/>
      <c r="H906" s="137"/>
      <c r="I906" s="137"/>
      <c r="J906" s="137"/>
      <c r="K906" s="137"/>
      <c r="L906" s="137"/>
      <c r="M906" s="137"/>
      <c r="N906" s="137"/>
      <c r="O906" s="137"/>
      <c r="P906" s="137"/>
    </row>
    <row r="907" spans="3:16" x14ac:dyDescent="0.25">
      <c r="C907" s="137"/>
      <c r="D907" s="137"/>
      <c r="E907" s="137"/>
      <c r="F907" s="137"/>
      <c r="G907" s="137"/>
      <c r="H907" s="137"/>
      <c r="I907" s="137"/>
      <c r="J907" s="137"/>
      <c r="K907" s="137"/>
      <c r="L907" s="137"/>
      <c r="M907" s="137"/>
      <c r="N907" s="137"/>
      <c r="O907" s="137"/>
      <c r="P907" s="137"/>
    </row>
    <row r="908" spans="3:16" x14ac:dyDescent="0.25">
      <c r="C908" s="137"/>
      <c r="D908" s="137"/>
      <c r="E908" s="137"/>
      <c r="F908" s="137"/>
      <c r="G908" s="137"/>
      <c r="H908" s="137"/>
      <c r="I908" s="137"/>
      <c r="J908" s="137"/>
      <c r="K908" s="137"/>
      <c r="L908" s="137"/>
      <c r="M908" s="137"/>
      <c r="N908" s="137"/>
      <c r="O908" s="137"/>
      <c r="P908" s="137"/>
    </row>
    <row r="909" spans="3:16" x14ac:dyDescent="0.25">
      <c r="C909" s="137"/>
      <c r="D909" s="137"/>
      <c r="E909" s="137"/>
      <c r="F909" s="137"/>
      <c r="G909" s="137"/>
      <c r="H909" s="137"/>
      <c r="I909" s="137"/>
      <c r="J909" s="137"/>
      <c r="K909" s="137"/>
      <c r="L909" s="137"/>
      <c r="M909" s="137"/>
      <c r="N909" s="137"/>
      <c r="O909" s="137"/>
      <c r="P909" s="137"/>
    </row>
    <row r="910" spans="3:16" x14ac:dyDescent="0.25">
      <c r="C910" s="137"/>
      <c r="D910" s="137"/>
      <c r="E910" s="137"/>
      <c r="F910" s="137"/>
      <c r="G910" s="137"/>
      <c r="H910" s="137"/>
      <c r="I910" s="137"/>
      <c r="J910" s="137"/>
      <c r="K910" s="137"/>
      <c r="L910" s="137"/>
      <c r="M910" s="137"/>
      <c r="N910" s="137"/>
      <c r="O910" s="137"/>
      <c r="P910" s="137"/>
    </row>
    <row r="911" spans="3:16" x14ac:dyDescent="0.25">
      <c r="C911" s="137"/>
      <c r="D911" s="137"/>
      <c r="E911" s="137"/>
      <c r="F911" s="137"/>
      <c r="G911" s="137"/>
      <c r="H911" s="137"/>
      <c r="I911" s="137"/>
      <c r="J911" s="137"/>
      <c r="K911" s="137"/>
      <c r="L911" s="137"/>
      <c r="M911" s="137"/>
      <c r="N911" s="137"/>
      <c r="O911" s="137"/>
      <c r="P911" s="137"/>
    </row>
    <row r="912" spans="3:16" x14ac:dyDescent="0.25">
      <c r="C912" s="137"/>
      <c r="D912" s="137"/>
      <c r="E912" s="137"/>
      <c r="F912" s="137"/>
      <c r="G912" s="137"/>
      <c r="H912" s="137"/>
      <c r="I912" s="137"/>
      <c r="J912" s="137"/>
      <c r="K912" s="137"/>
      <c r="L912" s="137"/>
      <c r="M912" s="137"/>
      <c r="N912" s="137"/>
      <c r="O912" s="137"/>
      <c r="P912" s="137"/>
    </row>
    <row r="913" spans="3:16" x14ac:dyDescent="0.25">
      <c r="C913" s="137"/>
      <c r="D913" s="137"/>
      <c r="E913" s="137"/>
      <c r="F913" s="137"/>
      <c r="G913" s="137"/>
      <c r="H913" s="137"/>
      <c r="I913" s="137"/>
      <c r="J913" s="137"/>
      <c r="K913" s="137"/>
      <c r="L913" s="137"/>
      <c r="M913" s="137"/>
      <c r="N913" s="137"/>
      <c r="O913" s="137"/>
      <c r="P913" s="137"/>
    </row>
    <row r="914" spans="3:16" x14ac:dyDescent="0.25">
      <c r="C914" s="137"/>
      <c r="D914" s="137"/>
      <c r="E914" s="137"/>
      <c r="F914" s="137"/>
      <c r="G914" s="137"/>
      <c r="H914" s="137"/>
      <c r="I914" s="137"/>
      <c r="J914" s="137"/>
      <c r="K914" s="137"/>
      <c r="L914" s="137"/>
      <c r="M914" s="137"/>
      <c r="N914" s="137"/>
      <c r="O914" s="137"/>
      <c r="P914" s="137"/>
    </row>
    <row r="915" spans="3:16" x14ac:dyDescent="0.25">
      <c r="C915" s="137"/>
      <c r="D915" s="137"/>
      <c r="E915" s="137"/>
      <c r="F915" s="137"/>
      <c r="G915" s="137"/>
      <c r="H915" s="137"/>
      <c r="I915" s="137"/>
      <c r="J915" s="137"/>
      <c r="K915" s="137"/>
      <c r="L915" s="137"/>
      <c r="M915" s="137"/>
      <c r="N915" s="137"/>
      <c r="O915" s="137"/>
      <c r="P915" s="137"/>
    </row>
    <row r="916" spans="3:16" x14ac:dyDescent="0.25">
      <c r="C916" s="137"/>
      <c r="D916" s="137"/>
      <c r="E916" s="137"/>
      <c r="F916" s="137"/>
      <c r="G916" s="137"/>
      <c r="H916" s="137"/>
      <c r="I916" s="137"/>
      <c r="J916" s="137"/>
      <c r="K916" s="137"/>
      <c r="L916" s="137"/>
      <c r="M916" s="137"/>
      <c r="N916" s="137"/>
      <c r="O916" s="137"/>
      <c r="P916" s="137"/>
    </row>
    <row r="917" spans="3:16" x14ac:dyDescent="0.25">
      <c r="C917" s="137"/>
      <c r="D917" s="137"/>
      <c r="E917" s="137"/>
      <c r="F917" s="137"/>
      <c r="G917" s="137"/>
      <c r="H917" s="137"/>
      <c r="I917" s="137"/>
      <c r="J917" s="137"/>
      <c r="K917" s="137"/>
      <c r="L917" s="137"/>
      <c r="M917" s="137"/>
      <c r="N917" s="137"/>
      <c r="O917" s="137"/>
      <c r="P917" s="137"/>
    </row>
    <row r="918" spans="3:16" x14ac:dyDescent="0.25">
      <c r="C918" s="137"/>
      <c r="D918" s="137"/>
      <c r="E918" s="137"/>
      <c r="F918" s="137"/>
      <c r="G918" s="137"/>
      <c r="H918" s="137"/>
      <c r="I918" s="137"/>
      <c r="J918" s="137"/>
      <c r="K918" s="137"/>
      <c r="L918" s="137"/>
      <c r="M918" s="137"/>
      <c r="N918" s="137"/>
      <c r="O918" s="137"/>
      <c r="P918" s="137"/>
    </row>
    <row r="919" spans="3:16" x14ac:dyDescent="0.25">
      <c r="C919" s="137"/>
      <c r="D919" s="137"/>
      <c r="E919" s="137"/>
      <c r="F919" s="137"/>
      <c r="G919" s="137"/>
      <c r="H919" s="137"/>
      <c r="I919" s="137"/>
      <c r="J919" s="137"/>
      <c r="K919" s="137"/>
      <c r="L919" s="137"/>
      <c r="M919" s="137"/>
      <c r="N919" s="137"/>
      <c r="O919" s="137"/>
      <c r="P919" s="137"/>
    </row>
    <row r="920" spans="3:16" x14ac:dyDescent="0.25">
      <c r="C920" s="137"/>
      <c r="D920" s="137"/>
      <c r="E920" s="137"/>
      <c r="F920" s="137"/>
      <c r="G920" s="137"/>
      <c r="H920" s="137"/>
      <c r="I920" s="137"/>
      <c r="J920" s="137"/>
      <c r="K920" s="137"/>
      <c r="L920" s="137"/>
      <c r="M920" s="137"/>
      <c r="N920" s="137"/>
      <c r="O920" s="137"/>
      <c r="P920" s="137"/>
    </row>
    <row r="921" spans="3:16" x14ac:dyDescent="0.25">
      <c r="C921" s="137"/>
      <c r="D921" s="137"/>
      <c r="E921" s="137"/>
      <c r="F921" s="137"/>
      <c r="G921" s="137"/>
      <c r="H921" s="137"/>
      <c r="I921" s="137"/>
      <c r="J921" s="137"/>
      <c r="K921" s="137"/>
      <c r="L921" s="137"/>
      <c r="M921" s="137"/>
      <c r="N921" s="137"/>
      <c r="O921" s="137"/>
      <c r="P921" s="137"/>
    </row>
    <row r="922" spans="3:16" x14ac:dyDescent="0.25">
      <c r="C922" s="137"/>
      <c r="D922" s="137"/>
      <c r="E922" s="137"/>
      <c r="F922" s="137"/>
      <c r="G922" s="137"/>
      <c r="H922" s="137"/>
      <c r="I922" s="137"/>
      <c r="J922" s="137"/>
      <c r="K922" s="137"/>
      <c r="L922" s="137"/>
      <c r="M922" s="137"/>
      <c r="N922" s="137"/>
      <c r="O922" s="137"/>
      <c r="P922" s="137"/>
    </row>
    <row r="923" spans="3:16" x14ac:dyDescent="0.25">
      <c r="C923" s="137"/>
      <c r="D923" s="137"/>
      <c r="E923" s="137"/>
      <c r="F923" s="137"/>
      <c r="G923" s="137"/>
      <c r="H923" s="137"/>
      <c r="I923" s="137"/>
      <c r="J923" s="137"/>
      <c r="K923" s="137"/>
      <c r="L923" s="137"/>
      <c r="M923" s="137"/>
      <c r="N923" s="137"/>
      <c r="O923" s="137"/>
      <c r="P923" s="137"/>
    </row>
    <row r="924" spans="3:16" x14ac:dyDescent="0.25">
      <c r="C924" s="137"/>
      <c r="D924" s="137"/>
      <c r="E924" s="137"/>
      <c r="F924" s="137"/>
      <c r="G924" s="137"/>
      <c r="H924" s="137"/>
      <c r="I924" s="137"/>
      <c r="J924" s="137"/>
      <c r="K924" s="137"/>
      <c r="L924" s="137"/>
      <c r="M924" s="137"/>
      <c r="N924" s="137"/>
      <c r="O924" s="137"/>
      <c r="P924" s="137"/>
    </row>
    <row r="925" spans="3:16" x14ac:dyDescent="0.25">
      <c r="C925" s="137"/>
      <c r="D925" s="137"/>
      <c r="E925" s="137"/>
      <c r="F925" s="137"/>
      <c r="G925" s="137"/>
      <c r="H925" s="137"/>
      <c r="I925" s="137"/>
      <c r="J925" s="137"/>
      <c r="K925" s="137"/>
      <c r="L925" s="137"/>
      <c r="M925" s="137"/>
      <c r="N925" s="137"/>
      <c r="O925" s="137"/>
      <c r="P925" s="137"/>
    </row>
    <row r="926" spans="3:16" x14ac:dyDescent="0.25">
      <c r="C926" s="137"/>
      <c r="D926" s="137"/>
      <c r="E926" s="137"/>
      <c r="F926" s="137"/>
      <c r="G926" s="137"/>
      <c r="H926" s="137"/>
      <c r="I926" s="137"/>
      <c r="J926" s="137"/>
      <c r="K926" s="137"/>
      <c r="L926" s="137"/>
      <c r="M926" s="137"/>
      <c r="N926" s="137"/>
      <c r="O926" s="137"/>
      <c r="P926" s="137"/>
    </row>
    <row r="927" spans="3:16" x14ac:dyDescent="0.25">
      <c r="C927" s="137"/>
      <c r="D927" s="137"/>
      <c r="E927" s="137"/>
      <c r="F927" s="137"/>
      <c r="G927" s="137"/>
      <c r="H927" s="137"/>
      <c r="I927" s="137"/>
      <c r="J927" s="137"/>
      <c r="K927" s="137"/>
      <c r="L927" s="137"/>
      <c r="M927" s="137"/>
      <c r="N927" s="137"/>
      <c r="O927" s="137"/>
      <c r="P927" s="137"/>
    </row>
    <row r="928" spans="3:16" x14ac:dyDescent="0.25">
      <c r="C928" s="137"/>
      <c r="D928" s="137"/>
      <c r="E928" s="137"/>
      <c r="F928" s="137"/>
      <c r="G928" s="137"/>
      <c r="H928" s="137"/>
      <c r="I928" s="137"/>
      <c r="J928" s="137"/>
      <c r="K928" s="137"/>
      <c r="L928" s="137"/>
      <c r="M928" s="137"/>
      <c r="N928" s="137"/>
      <c r="O928" s="137"/>
      <c r="P928" s="137"/>
    </row>
    <row r="929" spans="3:16" x14ac:dyDescent="0.25">
      <c r="C929" s="137"/>
      <c r="D929" s="137"/>
      <c r="E929" s="137"/>
      <c r="F929" s="137"/>
      <c r="G929" s="137"/>
      <c r="H929" s="137"/>
      <c r="I929" s="137"/>
      <c r="J929" s="137"/>
      <c r="K929" s="137"/>
      <c r="L929" s="137"/>
      <c r="M929" s="137"/>
      <c r="N929" s="137"/>
      <c r="O929" s="137"/>
      <c r="P929" s="137"/>
    </row>
    <row r="930" spans="3:16" x14ac:dyDescent="0.25">
      <c r="C930" s="137"/>
      <c r="D930" s="137"/>
      <c r="E930" s="137"/>
      <c r="F930" s="137"/>
      <c r="G930" s="137"/>
      <c r="H930" s="137"/>
      <c r="I930" s="137"/>
      <c r="J930" s="137"/>
      <c r="K930" s="137"/>
      <c r="L930" s="137"/>
      <c r="M930" s="137"/>
      <c r="N930" s="137"/>
      <c r="O930" s="137"/>
      <c r="P930" s="137"/>
    </row>
    <row r="931" spans="3:16" x14ac:dyDescent="0.25">
      <c r="C931" s="137"/>
      <c r="D931" s="137"/>
      <c r="E931" s="137"/>
      <c r="F931" s="137"/>
      <c r="G931" s="137"/>
      <c r="H931" s="137"/>
      <c r="I931" s="137"/>
      <c r="J931" s="137"/>
      <c r="K931" s="137"/>
      <c r="L931" s="137"/>
      <c r="M931" s="137"/>
      <c r="N931" s="137"/>
      <c r="O931" s="137"/>
      <c r="P931" s="137"/>
    </row>
    <row r="932" spans="3:16" x14ac:dyDescent="0.25">
      <c r="C932" s="137"/>
      <c r="D932" s="137"/>
      <c r="E932" s="137"/>
      <c r="F932" s="137"/>
      <c r="G932" s="137"/>
      <c r="H932" s="137"/>
      <c r="I932" s="137"/>
      <c r="J932" s="137"/>
      <c r="K932" s="137"/>
      <c r="L932" s="137"/>
      <c r="M932" s="137"/>
      <c r="N932" s="137"/>
      <c r="O932" s="137"/>
      <c r="P932" s="137"/>
    </row>
    <row r="933" spans="3:16" x14ac:dyDescent="0.25">
      <c r="C933" s="137"/>
      <c r="D933" s="137"/>
      <c r="E933" s="137"/>
      <c r="F933" s="137"/>
      <c r="G933" s="137"/>
      <c r="H933" s="137"/>
      <c r="I933" s="137"/>
      <c r="J933" s="137"/>
      <c r="K933" s="137"/>
      <c r="L933" s="137"/>
      <c r="M933" s="137"/>
      <c r="N933" s="137"/>
      <c r="O933" s="137"/>
      <c r="P933" s="137"/>
    </row>
    <row r="934" spans="3:16" x14ac:dyDescent="0.25">
      <c r="C934" s="137"/>
      <c r="D934" s="137"/>
      <c r="E934" s="137"/>
      <c r="F934" s="137"/>
      <c r="G934" s="137"/>
      <c r="H934" s="137"/>
      <c r="I934" s="137"/>
      <c r="J934" s="137"/>
      <c r="K934" s="137"/>
      <c r="L934" s="137"/>
      <c r="M934" s="137"/>
      <c r="N934" s="137"/>
      <c r="O934" s="137"/>
      <c r="P934" s="137"/>
    </row>
    <row r="935" spans="3:16" x14ac:dyDescent="0.25">
      <c r="C935" s="137"/>
      <c r="D935" s="137"/>
      <c r="E935" s="137"/>
      <c r="F935" s="137"/>
      <c r="G935" s="137"/>
      <c r="H935" s="137"/>
      <c r="I935" s="137"/>
      <c r="J935" s="137"/>
      <c r="K935" s="137"/>
      <c r="L935" s="137"/>
      <c r="M935" s="137"/>
      <c r="N935" s="137"/>
      <c r="O935" s="137"/>
      <c r="P935" s="137"/>
    </row>
    <row r="936" spans="3:16" x14ac:dyDescent="0.25">
      <c r="C936" s="137"/>
      <c r="D936" s="137"/>
      <c r="E936" s="137"/>
      <c r="F936" s="137"/>
      <c r="G936" s="137"/>
      <c r="H936" s="137"/>
      <c r="I936" s="137"/>
      <c r="J936" s="137"/>
      <c r="K936" s="137"/>
      <c r="L936" s="137"/>
      <c r="M936" s="137"/>
      <c r="N936" s="137"/>
      <c r="O936" s="137"/>
      <c r="P936" s="137"/>
    </row>
    <row r="937" spans="3:16" x14ac:dyDescent="0.25">
      <c r="C937" s="137"/>
      <c r="D937" s="137"/>
      <c r="E937" s="137"/>
      <c r="F937" s="137"/>
      <c r="G937" s="137"/>
      <c r="H937" s="137"/>
      <c r="I937" s="137"/>
      <c r="J937" s="137"/>
      <c r="K937" s="137"/>
      <c r="L937" s="137"/>
      <c r="M937" s="137"/>
      <c r="N937" s="137"/>
      <c r="O937" s="137"/>
      <c r="P937" s="137"/>
    </row>
    <row r="938" spans="3:16" x14ac:dyDescent="0.25">
      <c r="C938" s="137"/>
      <c r="D938" s="137"/>
      <c r="E938" s="137"/>
      <c r="F938" s="137"/>
      <c r="G938" s="137"/>
      <c r="H938" s="137"/>
      <c r="I938" s="137"/>
      <c r="J938" s="137"/>
      <c r="K938" s="137"/>
      <c r="L938" s="137"/>
      <c r="M938" s="137"/>
      <c r="N938" s="137"/>
      <c r="O938" s="137"/>
      <c r="P938" s="137"/>
    </row>
    <row r="939" spans="3:16" x14ac:dyDescent="0.25">
      <c r="C939" s="137"/>
      <c r="D939" s="137"/>
      <c r="E939" s="137"/>
      <c r="F939" s="137"/>
      <c r="G939" s="137"/>
      <c r="H939" s="137"/>
      <c r="I939" s="137"/>
      <c r="J939" s="137"/>
      <c r="K939" s="137"/>
      <c r="L939" s="137"/>
      <c r="M939" s="137"/>
      <c r="N939" s="137"/>
      <c r="O939" s="137"/>
      <c r="P939" s="137"/>
    </row>
    <row r="940" spans="3:16" x14ac:dyDescent="0.25">
      <c r="C940" s="137"/>
      <c r="D940" s="137"/>
      <c r="E940" s="137"/>
      <c r="F940" s="137"/>
      <c r="G940" s="137"/>
      <c r="H940" s="137"/>
      <c r="I940" s="137"/>
      <c r="J940" s="137"/>
      <c r="K940" s="137"/>
      <c r="L940" s="137"/>
      <c r="M940" s="137"/>
      <c r="N940" s="137"/>
      <c r="O940" s="137"/>
      <c r="P940" s="137"/>
    </row>
    <row r="941" spans="3:16" x14ac:dyDescent="0.25">
      <c r="C941" s="137"/>
      <c r="D941" s="137"/>
      <c r="E941" s="137"/>
      <c r="F941" s="137"/>
      <c r="G941" s="137"/>
      <c r="H941" s="137"/>
      <c r="I941" s="137"/>
      <c r="J941" s="137"/>
      <c r="K941" s="137"/>
      <c r="L941" s="137"/>
      <c r="M941" s="137"/>
      <c r="N941" s="137"/>
      <c r="O941" s="137"/>
      <c r="P941" s="137"/>
    </row>
    <row r="942" spans="3:16" x14ac:dyDescent="0.25">
      <c r="C942" s="137"/>
      <c r="D942" s="137"/>
      <c r="E942" s="137"/>
      <c r="F942" s="137"/>
      <c r="G942" s="137"/>
      <c r="H942" s="137"/>
      <c r="I942" s="137"/>
      <c r="J942" s="137"/>
      <c r="K942" s="137"/>
      <c r="L942" s="137"/>
      <c r="M942" s="137"/>
      <c r="N942" s="137"/>
      <c r="O942" s="137"/>
      <c r="P942" s="137"/>
    </row>
    <row r="943" spans="3:16" x14ac:dyDescent="0.25">
      <c r="C943" s="137"/>
      <c r="D943" s="137"/>
      <c r="E943" s="137"/>
      <c r="F943" s="137"/>
      <c r="G943" s="137"/>
      <c r="H943" s="137"/>
      <c r="I943" s="137"/>
      <c r="J943" s="137"/>
      <c r="K943" s="137"/>
      <c r="L943" s="137"/>
      <c r="M943" s="137"/>
      <c r="N943" s="137"/>
      <c r="O943" s="137"/>
      <c r="P943" s="137"/>
    </row>
    <row r="944" spans="3:16" x14ac:dyDescent="0.25">
      <c r="C944" s="137"/>
      <c r="D944" s="137"/>
      <c r="E944" s="137"/>
      <c r="F944" s="137"/>
      <c r="G944" s="137"/>
      <c r="H944" s="137"/>
      <c r="I944" s="137"/>
      <c r="J944" s="137"/>
      <c r="K944" s="137"/>
      <c r="L944" s="137"/>
      <c r="M944" s="137"/>
      <c r="N944" s="137"/>
      <c r="O944" s="137"/>
      <c r="P944" s="137"/>
    </row>
    <row r="945" spans="3:16" x14ac:dyDescent="0.25">
      <c r="C945" s="137"/>
      <c r="D945" s="137"/>
      <c r="E945" s="137"/>
      <c r="F945" s="137"/>
      <c r="G945" s="137"/>
      <c r="H945" s="137"/>
      <c r="I945" s="137"/>
      <c r="J945" s="137"/>
      <c r="K945" s="137"/>
      <c r="L945" s="137"/>
      <c r="M945" s="137"/>
      <c r="N945" s="137"/>
      <c r="O945" s="137"/>
      <c r="P945" s="137"/>
    </row>
    <row r="946" spans="3:16" x14ac:dyDescent="0.25">
      <c r="C946" s="137"/>
      <c r="D946" s="137"/>
      <c r="E946" s="137"/>
      <c r="F946" s="137"/>
      <c r="G946" s="137"/>
      <c r="H946" s="137"/>
      <c r="I946" s="137"/>
      <c r="J946" s="137"/>
      <c r="K946" s="137"/>
      <c r="L946" s="137"/>
      <c r="M946" s="137"/>
      <c r="N946" s="137"/>
      <c r="O946" s="137"/>
      <c r="P946" s="137"/>
    </row>
    <row r="947" spans="3:16" x14ac:dyDescent="0.25">
      <c r="C947" s="137"/>
      <c r="D947" s="137"/>
      <c r="E947" s="137"/>
      <c r="F947" s="137"/>
      <c r="G947" s="137"/>
      <c r="H947" s="137"/>
      <c r="I947" s="137"/>
      <c r="J947" s="137"/>
      <c r="K947" s="137"/>
      <c r="L947" s="137"/>
      <c r="M947" s="137"/>
      <c r="N947" s="137"/>
      <c r="O947" s="137"/>
      <c r="P947" s="137"/>
    </row>
    <row r="948" spans="3:16" x14ac:dyDescent="0.25">
      <c r="C948" s="137"/>
      <c r="D948" s="137"/>
      <c r="E948" s="137"/>
      <c r="F948" s="137"/>
      <c r="G948" s="137"/>
      <c r="H948" s="137"/>
      <c r="I948" s="137"/>
      <c r="J948" s="137"/>
      <c r="K948" s="137"/>
      <c r="L948" s="137"/>
      <c r="M948" s="137"/>
      <c r="N948" s="137"/>
      <c r="O948" s="137"/>
      <c r="P948" s="137"/>
    </row>
    <row r="949" spans="3:16" x14ac:dyDescent="0.25">
      <c r="C949" s="137"/>
      <c r="D949" s="137"/>
      <c r="E949" s="137"/>
      <c r="F949" s="137"/>
      <c r="G949" s="137"/>
      <c r="H949" s="137"/>
      <c r="I949" s="137"/>
      <c r="J949" s="137"/>
      <c r="K949" s="137"/>
      <c r="L949" s="137"/>
      <c r="M949" s="137"/>
      <c r="N949" s="137"/>
      <c r="O949" s="137"/>
      <c r="P949" s="137"/>
    </row>
    <row r="950" spans="3:16" x14ac:dyDescent="0.25">
      <c r="C950" s="137"/>
      <c r="D950" s="137"/>
      <c r="E950" s="137"/>
      <c r="F950" s="137"/>
      <c r="G950" s="137"/>
      <c r="H950" s="137"/>
      <c r="I950" s="137"/>
      <c r="J950" s="137"/>
      <c r="K950" s="137"/>
      <c r="L950" s="137"/>
      <c r="M950" s="137"/>
      <c r="N950" s="137"/>
      <c r="O950" s="137"/>
      <c r="P950" s="137"/>
    </row>
    <row r="951" spans="3:16" x14ac:dyDescent="0.25">
      <c r="C951" s="137"/>
      <c r="D951" s="137"/>
      <c r="E951" s="137"/>
      <c r="F951" s="137"/>
      <c r="G951" s="137"/>
      <c r="H951" s="137"/>
      <c r="I951" s="137"/>
      <c r="J951" s="137"/>
      <c r="K951" s="137"/>
      <c r="L951" s="137"/>
      <c r="M951" s="137"/>
      <c r="N951" s="137"/>
      <c r="O951" s="137"/>
      <c r="P951" s="137"/>
    </row>
    <row r="952" spans="3:16" x14ac:dyDescent="0.25">
      <c r="C952" s="137"/>
      <c r="D952" s="137"/>
      <c r="E952" s="137"/>
      <c r="F952" s="137"/>
      <c r="G952" s="137"/>
      <c r="H952" s="137"/>
      <c r="I952" s="137"/>
      <c r="J952" s="137"/>
      <c r="K952" s="137"/>
      <c r="L952" s="137"/>
      <c r="M952" s="137"/>
      <c r="N952" s="137"/>
      <c r="O952" s="137"/>
      <c r="P952" s="137"/>
    </row>
    <row r="953" spans="3:16" x14ac:dyDescent="0.25">
      <c r="C953" s="137"/>
      <c r="D953" s="137"/>
      <c r="E953" s="137"/>
      <c r="F953" s="137"/>
      <c r="G953" s="137"/>
      <c r="H953" s="137"/>
      <c r="I953" s="137"/>
      <c r="J953" s="137"/>
      <c r="K953" s="137"/>
      <c r="L953" s="137"/>
      <c r="M953" s="137"/>
      <c r="N953" s="137"/>
      <c r="O953" s="137"/>
      <c r="P953" s="137"/>
    </row>
    <row r="954" spans="3:16" x14ac:dyDescent="0.25">
      <c r="C954" s="137"/>
      <c r="D954" s="137"/>
      <c r="E954" s="137"/>
      <c r="F954" s="137"/>
      <c r="G954" s="137"/>
      <c r="H954" s="137"/>
      <c r="I954" s="137"/>
      <c r="J954" s="137"/>
      <c r="K954" s="137"/>
      <c r="L954" s="137"/>
      <c r="M954" s="137"/>
      <c r="N954" s="137"/>
      <c r="O954" s="137"/>
      <c r="P954" s="137"/>
    </row>
    <row r="955" spans="3:16" x14ac:dyDescent="0.25">
      <c r="C955" s="137"/>
      <c r="D955" s="137"/>
      <c r="E955" s="137"/>
      <c r="F955" s="137"/>
      <c r="G955" s="137"/>
      <c r="H955" s="137"/>
      <c r="I955" s="137"/>
      <c r="J955" s="137"/>
      <c r="K955" s="137"/>
      <c r="L955" s="137"/>
      <c r="M955" s="137"/>
      <c r="N955" s="137"/>
      <c r="O955" s="137"/>
      <c r="P955" s="137"/>
    </row>
    <row r="956" spans="3:16" x14ac:dyDescent="0.25">
      <c r="C956" s="137"/>
      <c r="D956" s="137"/>
      <c r="E956" s="137"/>
      <c r="F956" s="137"/>
      <c r="G956" s="137"/>
      <c r="H956" s="137"/>
      <c r="I956" s="137"/>
      <c r="J956" s="137"/>
      <c r="K956" s="137"/>
      <c r="L956" s="137"/>
      <c r="M956" s="137"/>
      <c r="N956" s="137"/>
      <c r="O956" s="137"/>
      <c r="P956" s="137"/>
    </row>
    <row r="957" spans="3:16" x14ac:dyDescent="0.25">
      <c r="C957" s="137"/>
      <c r="D957" s="137"/>
      <c r="E957" s="137"/>
      <c r="F957" s="137"/>
      <c r="G957" s="137"/>
      <c r="H957" s="137"/>
      <c r="I957" s="137"/>
      <c r="J957" s="137"/>
      <c r="K957" s="137"/>
      <c r="L957" s="137"/>
      <c r="M957" s="137"/>
      <c r="N957" s="137"/>
      <c r="O957" s="137"/>
      <c r="P957" s="137"/>
    </row>
    <row r="958" spans="3:16" x14ac:dyDescent="0.25">
      <c r="C958" s="137"/>
      <c r="D958" s="137"/>
      <c r="E958" s="137"/>
      <c r="F958" s="137"/>
      <c r="G958" s="137"/>
      <c r="H958" s="137"/>
      <c r="I958" s="137"/>
      <c r="J958" s="137"/>
      <c r="K958" s="137"/>
      <c r="L958" s="137"/>
      <c r="M958" s="137"/>
      <c r="N958" s="137"/>
      <c r="O958" s="137"/>
      <c r="P958" s="137"/>
    </row>
    <row r="959" spans="3:16" x14ac:dyDescent="0.25">
      <c r="C959" s="137"/>
      <c r="D959" s="137"/>
      <c r="E959" s="137"/>
      <c r="F959" s="137"/>
      <c r="G959" s="137"/>
      <c r="H959" s="137"/>
      <c r="I959" s="137"/>
      <c r="J959" s="137"/>
      <c r="K959" s="137"/>
      <c r="L959" s="137"/>
      <c r="M959" s="137"/>
      <c r="N959" s="137"/>
      <c r="O959" s="137"/>
      <c r="P959" s="137"/>
    </row>
    <row r="960" spans="3:16" x14ac:dyDescent="0.25">
      <c r="C960" s="137"/>
      <c r="D960" s="137"/>
      <c r="E960" s="137"/>
      <c r="F960" s="137"/>
      <c r="G960" s="137"/>
      <c r="H960" s="137"/>
      <c r="I960" s="137"/>
      <c r="J960" s="137"/>
      <c r="K960" s="137"/>
      <c r="L960" s="137"/>
      <c r="M960" s="137"/>
      <c r="N960" s="137"/>
      <c r="O960" s="137"/>
      <c r="P960" s="137"/>
    </row>
    <row r="961" spans="3:16" x14ac:dyDescent="0.25">
      <c r="C961" s="137"/>
      <c r="D961" s="137"/>
      <c r="E961" s="137"/>
      <c r="F961" s="137"/>
      <c r="G961" s="137"/>
      <c r="H961" s="137"/>
      <c r="I961" s="137"/>
      <c r="J961" s="137"/>
      <c r="K961" s="137"/>
      <c r="L961" s="137"/>
      <c r="M961" s="137"/>
      <c r="N961" s="137"/>
      <c r="O961" s="137"/>
      <c r="P961" s="137"/>
    </row>
    <row r="962" spans="3:16" x14ac:dyDescent="0.25">
      <c r="C962" s="137"/>
      <c r="D962" s="137"/>
      <c r="E962" s="137"/>
      <c r="F962" s="137"/>
      <c r="G962" s="137"/>
      <c r="H962" s="137"/>
      <c r="I962" s="137"/>
      <c r="J962" s="137"/>
      <c r="K962" s="137"/>
      <c r="L962" s="137"/>
      <c r="M962" s="137"/>
      <c r="N962" s="137"/>
      <c r="O962" s="137"/>
      <c r="P962" s="137"/>
    </row>
    <row r="963" spans="3:16" x14ac:dyDescent="0.25">
      <c r="C963" s="137"/>
      <c r="D963" s="137"/>
      <c r="E963" s="137"/>
      <c r="F963" s="137"/>
      <c r="G963" s="137"/>
      <c r="H963" s="137"/>
      <c r="I963" s="137"/>
      <c r="J963" s="137"/>
      <c r="K963" s="137"/>
      <c r="L963" s="137"/>
      <c r="M963" s="137"/>
      <c r="N963" s="137"/>
      <c r="O963" s="137"/>
      <c r="P963" s="137"/>
    </row>
    <row r="964" spans="3:16" x14ac:dyDescent="0.25">
      <c r="C964" s="137"/>
      <c r="D964" s="137"/>
      <c r="E964" s="137"/>
      <c r="F964" s="137"/>
      <c r="G964" s="137"/>
      <c r="H964" s="137"/>
      <c r="I964" s="137"/>
      <c r="J964" s="137"/>
      <c r="K964" s="137"/>
      <c r="L964" s="137"/>
      <c r="M964" s="137"/>
      <c r="N964" s="137"/>
      <c r="O964" s="137"/>
      <c r="P964" s="137"/>
    </row>
    <row r="965" spans="3:16" x14ac:dyDescent="0.25">
      <c r="C965" s="137"/>
      <c r="D965" s="137"/>
      <c r="E965" s="137"/>
      <c r="F965" s="137"/>
      <c r="G965" s="137"/>
      <c r="H965" s="137"/>
      <c r="I965" s="137"/>
      <c r="J965" s="137"/>
      <c r="K965" s="137"/>
      <c r="L965" s="137"/>
      <c r="M965" s="137"/>
      <c r="N965" s="137"/>
      <c r="O965" s="137"/>
      <c r="P965" s="137"/>
    </row>
    <row r="966" spans="3:16" x14ac:dyDescent="0.25">
      <c r="C966" s="137"/>
      <c r="D966" s="137"/>
      <c r="E966" s="137"/>
      <c r="F966" s="137"/>
      <c r="G966" s="137"/>
      <c r="H966" s="137"/>
      <c r="I966" s="137"/>
      <c r="J966" s="137"/>
      <c r="K966" s="137"/>
      <c r="L966" s="137"/>
      <c r="M966" s="137"/>
      <c r="N966" s="137"/>
      <c r="O966" s="137"/>
      <c r="P966" s="137"/>
    </row>
    <row r="967" spans="3:16" x14ac:dyDescent="0.25">
      <c r="C967" s="137"/>
      <c r="D967" s="137"/>
      <c r="E967" s="137"/>
      <c r="F967" s="137"/>
      <c r="G967" s="137"/>
      <c r="H967" s="137"/>
      <c r="I967" s="137"/>
      <c r="J967" s="137"/>
      <c r="K967" s="137"/>
      <c r="L967" s="137"/>
      <c r="M967" s="137"/>
      <c r="N967" s="137"/>
      <c r="O967" s="137"/>
      <c r="P967" s="137"/>
    </row>
    <row r="968" spans="3:16" x14ac:dyDescent="0.25">
      <c r="C968" s="137"/>
      <c r="D968" s="137"/>
      <c r="E968" s="137"/>
      <c r="F968" s="137"/>
      <c r="G968" s="137"/>
      <c r="H968" s="137"/>
      <c r="I968" s="137"/>
      <c r="J968" s="137"/>
      <c r="K968" s="137"/>
      <c r="L968" s="137"/>
      <c r="M968" s="137"/>
      <c r="N968" s="137"/>
      <c r="O968" s="137"/>
      <c r="P968" s="137"/>
    </row>
    <row r="969" spans="3:16" x14ac:dyDescent="0.25">
      <c r="C969" s="137"/>
      <c r="D969" s="137"/>
      <c r="E969" s="137"/>
      <c r="F969" s="137"/>
      <c r="G969" s="137"/>
      <c r="H969" s="137"/>
      <c r="I969" s="137"/>
      <c r="J969" s="137"/>
      <c r="K969" s="137"/>
      <c r="L969" s="137"/>
      <c r="M969" s="137"/>
      <c r="N969" s="137"/>
      <c r="O969" s="137"/>
      <c r="P969" s="137"/>
    </row>
    <row r="970" spans="3:16" x14ac:dyDescent="0.25">
      <c r="C970" s="137"/>
      <c r="D970" s="137"/>
      <c r="E970" s="137"/>
      <c r="F970" s="137"/>
      <c r="G970" s="137"/>
      <c r="H970" s="137"/>
      <c r="I970" s="137"/>
      <c r="J970" s="137"/>
      <c r="K970" s="137"/>
      <c r="L970" s="137"/>
      <c r="M970" s="137"/>
      <c r="N970" s="137"/>
      <c r="O970" s="137"/>
      <c r="P970" s="137"/>
    </row>
    <row r="971" spans="3:16" x14ac:dyDescent="0.25">
      <c r="C971" s="137"/>
      <c r="D971" s="137"/>
      <c r="E971" s="137"/>
      <c r="F971" s="137"/>
      <c r="G971" s="137"/>
      <c r="H971" s="137"/>
      <c r="I971" s="137"/>
      <c r="J971" s="137"/>
      <c r="K971" s="137"/>
      <c r="L971" s="137"/>
      <c r="M971" s="137"/>
      <c r="N971" s="137"/>
      <c r="O971" s="137"/>
      <c r="P971" s="137"/>
    </row>
    <row r="972" spans="3:16" x14ac:dyDescent="0.25">
      <c r="C972" s="137"/>
      <c r="D972" s="137"/>
      <c r="E972" s="137"/>
      <c r="F972" s="137"/>
      <c r="G972" s="137"/>
      <c r="H972" s="137"/>
      <c r="I972" s="137"/>
      <c r="J972" s="137"/>
      <c r="K972" s="137"/>
      <c r="L972" s="137"/>
      <c r="M972" s="137"/>
      <c r="N972" s="137"/>
      <c r="O972" s="137"/>
      <c r="P972" s="137"/>
    </row>
    <row r="973" spans="3:16" x14ac:dyDescent="0.25">
      <c r="C973" s="137"/>
      <c r="D973" s="137"/>
      <c r="E973" s="137"/>
      <c r="F973" s="137"/>
      <c r="G973" s="137"/>
      <c r="H973" s="137"/>
      <c r="I973" s="137"/>
      <c r="J973" s="137"/>
      <c r="K973" s="137"/>
      <c r="L973" s="137"/>
      <c r="M973" s="137"/>
      <c r="N973" s="137"/>
      <c r="O973" s="137"/>
      <c r="P973" s="137"/>
    </row>
    <row r="974" spans="3:16" x14ac:dyDescent="0.25">
      <c r="C974" s="137"/>
      <c r="D974" s="137"/>
      <c r="E974" s="137"/>
      <c r="F974" s="137"/>
      <c r="G974" s="137"/>
      <c r="H974" s="137"/>
      <c r="I974" s="137"/>
      <c r="J974" s="137"/>
      <c r="K974" s="137"/>
      <c r="L974" s="137"/>
      <c r="M974" s="137"/>
      <c r="N974" s="137"/>
      <c r="O974" s="137"/>
      <c r="P974" s="137"/>
    </row>
    <row r="975" spans="3:16" x14ac:dyDescent="0.25">
      <c r="C975" s="137"/>
      <c r="D975" s="137"/>
      <c r="E975" s="137"/>
      <c r="F975" s="137"/>
      <c r="G975" s="137"/>
      <c r="H975" s="137"/>
      <c r="I975" s="137"/>
      <c r="J975" s="137"/>
      <c r="K975" s="137"/>
      <c r="L975" s="137"/>
      <c r="M975" s="137"/>
      <c r="N975" s="137"/>
      <c r="O975" s="137"/>
      <c r="P975" s="137"/>
    </row>
    <row r="976" spans="3:16" x14ac:dyDescent="0.25">
      <c r="C976" s="137"/>
      <c r="D976" s="137"/>
      <c r="E976" s="137"/>
      <c r="F976" s="137"/>
      <c r="G976" s="137"/>
      <c r="H976" s="137"/>
      <c r="I976" s="137"/>
      <c r="J976" s="137"/>
      <c r="K976" s="137"/>
      <c r="L976" s="137"/>
      <c r="M976" s="137"/>
      <c r="N976" s="137"/>
      <c r="O976" s="137"/>
      <c r="P976" s="137"/>
    </row>
    <row r="977" spans="3:16" x14ac:dyDescent="0.25">
      <c r="C977" s="137"/>
      <c r="D977" s="137"/>
      <c r="E977" s="137"/>
      <c r="F977" s="137"/>
      <c r="G977" s="137"/>
      <c r="H977" s="137"/>
      <c r="I977" s="137"/>
      <c r="J977" s="137"/>
      <c r="K977" s="137"/>
      <c r="L977" s="137"/>
      <c r="M977" s="137"/>
      <c r="N977" s="137"/>
      <c r="O977" s="137"/>
      <c r="P977" s="137"/>
    </row>
    <row r="978" spans="3:16" x14ac:dyDescent="0.25">
      <c r="C978" s="137"/>
      <c r="D978" s="137"/>
      <c r="E978" s="137"/>
      <c r="F978" s="137"/>
      <c r="G978" s="137"/>
      <c r="H978" s="137"/>
      <c r="I978" s="137"/>
      <c r="J978" s="137"/>
      <c r="K978" s="137"/>
      <c r="L978" s="137"/>
      <c r="M978" s="137"/>
      <c r="N978" s="137"/>
      <c r="O978" s="137"/>
      <c r="P978" s="137"/>
    </row>
    <row r="979" spans="3:16" x14ac:dyDescent="0.25">
      <c r="C979" s="137"/>
      <c r="D979" s="137"/>
      <c r="E979" s="137"/>
      <c r="F979" s="137"/>
      <c r="G979" s="137"/>
      <c r="H979" s="137"/>
      <c r="I979" s="137"/>
      <c r="J979" s="137"/>
      <c r="K979" s="137"/>
      <c r="L979" s="137"/>
      <c r="M979" s="137"/>
      <c r="N979" s="137"/>
      <c r="O979" s="137"/>
      <c r="P979" s="137"/>
    </row>
    <row r="980" spans="3:16" x14ac:dyDescent="0.25">
      <c r="C980" s="137"/>
      <c r="D980" s="137"/>
      <c r="E980" s="137"/>
      <c r="F980" s="137"/>
      <c r="G980" s="137"/>
      <c r="H980" s="137"/>
      <c r="I980" s="137"/>
      <c r="J980" s="137"/>
      <c r="K980" s="137"/>
      <c r="L980" s="137"/>
      <c r="M980" s="137"/>
      <c r="N980" s="137"/>
      <c r="O980" s="137"/>
      <c r="P980" s="137"/>
    </row>
    <row r="981" spans="3:16" x14ac:dyDescent="0.25">
      <c r="C981" s="137"/>
      <c r="D981" s="137"/>
      <c r="E981" s="137"/>
      <c r="F981" s="137"/>
      <c r="G981" s="137"/>
      <c r="H981" s="137"/>
      <c r="I981" s="137"/>
      <c r="J981" s="137"/>
      <c r="K981" s="137"/>
      <c r="L981" s="137"/>
      <c r="M981" s="137"/>
      <c r="N981" s="137"/>
      <c r="O981" s="137"/>
      <c r="P981" s="137"/>
    </row>
    <row r="982" spans="3:16" x14ac:dyDescent="0.25">
      <c r="C982" s="137"/>
      <c r="D982" s="137"/>
      <c r="E982" s="137"/>
      <c r="F982" s="137"/>
      <c r="G982" s="137"/>
      <c r="H982" s="137"/>
      <c r="I982" s="137"/>
      <c r="J982" s="137"/>
      <c r="K982" s="137"/>
      <c r="L982" s="137"/>
      <c r="M982" s="137"/>
      <c r="N982" s="137"/>
      <c r="O982" s="137"/>
      <c r="P982" s="137"/>
    </row>
    <row r="983" spans="3:16" x14ac:dyDescent="0.25">
      <c r="C983" s="137"/>
      <c r="D983" s="137"/>
      <c r="E983" s="137"/>
      <c r="F983" s="137"/>
      <c r="G983" s="137"/>
      <c r="H983" s="137"/>
      <c r="I983" s="137"/>
      <c r="J983" s="137"/>
      <c r="K983" s="137"/>
      <c r="L983" s="137"/>
      <c r="M983" s="137"/>
      <c r="N983" s="137"/>
      <c r="O983" s="137"/>
      <c r="P983" s="137"/>
    </row>
    <row r="984" spans="3:16" x14ac:dyDescent="0.25">
      <c r="C984" s="137"/>
      <c r="D984" s="137"/>
      <c r="E984" s="137"/>
      <c r="F984" s="137"/>
      <c r="G984" s="137"/>
      <c r="H984" s="137"/>
      <c r="I984" s="137"/>
      <c r="J984" s="137"/>
      <c r="K984" s="137"/>
      <c r="L984" s="137"/>
      <c r="M984" s="137"/>
      <c r="N984" s="137"/>
      <c r="O984" s="137"/>
      <c r="P984" s="137"/>
    </row>
    <row r="985" spans="3:16" x14ac:dyDescent="0.25">
      <c r="C985" s="137"/>
      <c r="D985" s="137"/>
      <c r="E985" s="137"/>
      <c r="F985" s="137"/>
      <c r="G985" s="137"/>
      <c r="H985" s="137"/>
      <c r="I985" s="137"/>
      <c r="J985" s="137"/>
      <c r="K985" s="137"/>
      <c r="L985" s="137"/>
      <c r="M985" s="137"/>
      <c r="N985" s="137"/>
      <c r="O985" s="137"/>
      <c r="P985" s="137"/>
    </row>
    <row r="986" spans="3:16" x14ac:dyDescent="0.25">
      <c r="C986" s="137"/>
      <c r="D986" s="137"/>
      <c r="E986" s="137"/>
      <c r="F986" s="137"/>
      <c r="G986" s="137"/>
      <c r="H986" s="137"/>
      <c r="I986" s="137"/>
      <c r="J986" s="137"/>
      <c r="K986" s="137"/>
      <c r="L986" s="137"/>
      <c r="M986" s="137"/>
      <c r="N986" s="137"/>
      <c r="O986" s="137"/>
      <c r="P986" s="137"/>
    </row>
    <row r="987" spans="3:16" x14ac:dyDescent="0.25">
      <c r="C987" s="137"/>
      <c r="D987" s="137"/>
      <c r="E987" s="137"/>
      <c r="F987" s="137"/>
      <c r="G987" s="137"/>
      <c r="H987" s="137"/>
      <c r="I987" s="137"/>
      <c r="J987" s="137"/>
      <c r="K987" s="137"/>
      <c r="L987" s="137"/>
      <c r="M987" s="137"/>
      <c r="N987" s="137"/>
      <c r="O987" s="137"/>
      <c r="P987" s="137"/>
    </row>
    <row r="988" spans="3:16" x14ac:dyDescent="0.25">
      <c r="C988" s="137"/>
      <c r="D988" s="137"/>
      <c r="E988" s="137"/>
      <c r="F988" s="137"/>
      <c r="G988" s="137"/>
      <c r="H988" s="137"/>
      <c r="I988" s="137"/>
      <c r="J988" s="137"/>
      <c r="K988" s="137"/>
      <c r="L988" s="137"/>
      <c r="M988" s="137"/>
      <c r="N988" s="137"/>
      <c r="O988" s="137"/>
      <c r="P988" s="137"/>
    </row>
    <row r="989" spans="3:16" x14ac:dyDescent="0.25">
      <c r="C989" s="137"/>
      <c r="D989" s="137"/>
      <c r="E989" s="137"/>
      <c r="F989" s="137"/>
      <c r="G989" s="137"/>
      <c r="H989" s="137"/>
      <c r="I989" s="137"/>
      <c r="J989" s="137"/>
      <c r="K989" s="137"/>
      <c r="L989" s="137"/>
      <c r="M989" s="137"/>
      <c r="N989" s="137"/>
      <c r="O989" s="137"/>
      <c r="P989" s="137"/>
    </row>
    <row r="990" spans="3:16" x14ac:dyDescent="0.25">
      <c r="C990" s="137"/>
      <c r="D990" s="137"/>
      <c r="E990" s="137"/>
      <c r="F990" s="137"/>
      <c r="G990" s="137"/>
      <c r="H990" s="137"/>
      <c r="I990" s="137"/>
      <c r="J990" s="137"/>
      <c r="K990" s="137"/>
      <c r="L990" s="137"/>
      <c r="M990" s="137"/>
      <c r="N990" s="137"/>
      <c r="O990" s="137"/>
      <c r="P990" s="137"/>
    </row>
    <row r="991" spans="3:16" x14ac:dyDescent="0.25">
      <c r="C991" s="137"/>
      <c r="D991" s="137"/>
      <c r="E991" s="137"/>
      <c r="F991" s="137"/>
      <c r="G991" s="137"/>
      <c r="H991" s="137"/>
      <c r="I991" s="137"/>
      <c r="J991" s="137"/>
      <c r="K991" s="137"/>
      <c r="L991" s="137"/>
      <c r="M991" s="137"/>
      <c r="N991" s="137"/>
      <c r="O991" s="137"/>
      <c r="P991" s="137"/>
    </row>
    <row r="992" spans="3:16" x14ac:dyDescent="0.25">
      <c r="C992" s="137"/>
      <c r="D992" s="137"/>
      <c r="E992" s="137"/>
      <c r="F992" s="137"/>
      <c r="G992" s="137"/>
      <c r="H992" s="137"/>
      <c r="I992" s="137"/>
      <c r="J992" s="137"/>
      <c r="K992" s="137"/>
      <c r="L992" s="137"/>
      <c r="M992" s="137"/>
      <c r="N992" s="137"/>
      <c r="O992" s="137"/>
      <c r="P992" s="137"/>
    </row>
    <row r="993" spans="3:16" x14ac:dyDescent="0.25">
      <c r="C993" s="137"/>
      <c r="D993" s="137"/>
      <c r="E993" s="137"/>
      <c r="F993" s="137"/>
      <c r="G993" s="137"/>
      <c r="H993" s="137"/>
      <c r="I993" s="137"/>
      <c r="J993" s="137"/>
      <c r="K993" s="137"/>
      <c r="L993" s="137"/>
      <c r="M993" s="137"/>
      <c r="N993" s="137"/>
      <c r="O993" s="137"/>
      <c r="P993" s="137"/>
    </row>
    <row r="994" spans="3:16" x14ac:dyDescent="0.25">
      <c r="C994" s="137"/>
      <c r="D994" s="137"/>
      <c r="E994" s="137"/>
      <c r="F994" s="137"/>
      <c r="G994" s="137"/>
      <c r="H994" s="137"/>
      <c r="I994" s="137"/>
      <c r="J994" s="137"/>
      <c r="K994" s="137"/>
      <c r="L994" s="137"/>
      <c r="M994" s="137"/>
      <c r="N994" s="137"/>
      <c r="O994" s="137"/>
      <c r="P994" s="137"/>
    </row>
    <row r="995" spans="3:16" x14ac:dyDescent="0.25">
      <c r="C995" s="137"/>
      <c r="D995" s="137"/>
      <c r="E995" s="137"/>
      <c r="F995" s="137"/>
      <c r="G995" s="137"/>
      <c r="H995" s="137"/>
      <c r="I995" s="137"/>
      <c r="J995" s="137"/>
      <c r="K995" s="137"/>
      <c r="L995" s="137"/>
      <c r="M995" s="137"/>
      <c r="N995" s="137"/>
      <c r="O995" s="137"/>
      <c r="P995" s="137"/>
    </row>
    <row r="996" spans="3:16" x14ac:dyDescent="0.25">
      <c r="C996" s="137"/>
      <c r="D996" s="137"/>
      <c r="E996" s="137"/>
      <c r="F996" s="137"/>
      <c r="G996" s="137"/>
      <c r="H996" s="137"/>
      <c r="I996" s="137"/>
      <c r="J996" s="137"/>
      <c r="K996" s="137"/>
      <c r="L996" s="137"/>
      <c r="M996" s="137"/>
      <c r="N996" s="137"/>
      <c r="O996" s="137"/>
      <c r="P996" s="137"/>
    </row>
    <row r="997" spans="3:16" x14ac:dyDescent="0.25">
      <c r="C997" s="137"/>
      <c r="D997" s="137"/>
      <c r="E997" s="137"/>
      <c r="F997" s="137"/>
      <c r="G997" s="137"/>
      <c r="H997" s="137"/>
      <c r="I997" s="137"/>
      <c r="J997" s="137"/>
      <c r="K997" s="137"/>
      <c r="L997" s="137"/>
      <c r="M997" s="137"/>
      <c r="N997" s="137"/>
      <c r="O997" s="137"/>
      <c r="P997" s="137"/>
    </row>
    <row r="998" spans="3:16" x14ac:dyDescent="0.25">
      <c r="C998" s="137"/>
      <c r="D998" s="137"/>
      <c r="E998" s="137"/>
      <c r="F998" s="137"/>
      <c r="G998" s="137"/>
      <c r="H998" s="137"/>
      <c r="I998" s="137"/>
      <c r="J998" s="137"/>
      <c r="K998" s="137"/>
      <c r="L998" s="137"/>
      <c r="M998" s="137"/>
      <c r="N998" s="137"/>
      <c r="O998" s="137"/>
      <c r="P998" s="137"/>
    </row>
    <row r="999" spans="3:16" x14ac:dyDescent="0.25">
      <c r="C999" s="137"/>
      <c r="D999" s="137"/>
      <c r="E999" s="137"/>
      <c r="F999" s="137"/>
      <c r="G999" s="137"/>
      <c r="H999" s="137"/>
      <c r="I999" s="137"/>
      <c r="J999" s="137"/>
      <c r="K999" s="137"/>
      <c r="L999" s="137"/>
      <c r="M999" s="137"/>
      <c r="N999" s="137"/>
      <c r="O999" s="137"/>
      <c r="P999" s="137"/>
    </row>
    <row r="1000" spans="3:16" x14ac:dyDescent="0.25">
      <c r="C1000" s="137"/>
      <c r="D1000" s="137"/>
      <c r="E1000" s="137"/>
      <c r="F1000" s="137"/>
      <c r="G1000" s="137"/>
      <c r="H1000" s="137"/>
      <c r="I1000" s="137"/>
      <c r="J1000" s="137"/>
      <c r="K1000" s="137"/>
      <c r="L1000" s="137"/>
      <c r="M1000" s="137"/>
      <c r="N1000" s="137"/>
      <c r="O1000" s="137"/>
      <c r="P1000" s="137"/>
    </row>
    <row r="1001" spans="3:16" x14ac:dyDescent="0.25">
      <c r="C1001" s="137"/>
      <c r="D1001" s="137"/>
      <c r="E1001" s="137"/>
      <c r="F1001" s="137"/>
      <c r="G1001" s="137"/>
      <c r="H1001" s="137"/>
      <c r="I1001" s="137"/>
      <c r="J1001" s="137"/>
      <c r="K1001" s="137"/>
      <c r="L1001" s="137"/>
      <c r="M1001" s="137"/>
      <c r="N1001" s="137"/>
      <c r="O1001" s="137"/>
      <c r="P1001" s="137"/>
    </row>
    <row r="1002" spans="3:16" x14ac:dyDescent="0.25">
      <c r="C1002" s="137"/>
      <c r="D1002" s="137"/>
      <c r="E1002" s="137"/>
      <c r="F1002" s="137"/>
      <c r="G1002" s="137"/>
      <c r="H1002" s="137"/>
      <c r="I1002" s="137"/>
      <c r="J1002" s="137"/>
      <c r="K1002" s="137"/>
      <c r="L1002" s="137"/>
      <c r="M1002" s="137"/>
      <c r="N1002" s="137"/>
      <c r="O1002" s="137"/>
      <c r="P1002" s="137"/>
    </row>
    <row r="1003" spans="3:16" x14ac:dyDescent="0.25">
      <c r="C1003" s="137"/>
      <c r="D1003" s="137"/>
      <c r="E1003" s="137"/>
      <c r="F1003" s="137"/>
      <c r="G1003" s="137"/>
      <c r="H1003" s="137"/>
      <c r="I1003" s="137"/>
      <c r="J1003" s="137"/>
      <c r="K1003" s="137"/>
      <c r="L1003" s="137"/>
      <c r="M1003" s="137"/>
      <c r="N1003" s="137"/>
      <c r="O1003" s="137"/>
      <c r="P1003" s="137"/>
    </row>
    <row r="1004" spans="3:16" x14ac:dyDescent="0.25">
      <c r="C1004" s="137"/>
      <c r="D1004" s="137"/>
      <c r="E1004" s="137"/>
      <c r="F1004" s="137"/>
      <c r="G1004" s="137"/>
      <c r="H1004" s="137"/>
      <c r="I1004" s="137"/>
      <c r="J1004" s="137"/>
      <c r="K1004" s="137"/>
      <c r="L1004" s="137"/>
      <c r="M1004" s="137"/>
      <c r="N1004" s="137"/>
      <c r="O1004" s="137"/>
      <c r="P1004" s="137"/>
    </row>
    <row r="1005" spans="3:16" x14ac:dyDescent="0.25">
      <c r="C1005" s="137"/>
      <c r="D1005" s="137"/>
      <c r="E1005" s="137"/>
      <c r="F1005" s="137"/>
      <c r="G1005" s="137"/>
      <c r="H1005" s="137"/>
      <c r="I1005" s="137"/>
      <c r="J1005" s="137"/>
      <c r="K1005" s="137"/>
      <c r="L1005" s="137"/>
      <c r="M1005" s="137"/>
      <c r="N1005" s="137"/>
      <c r="O1005" s="137"/>
      <c r="P1005" s="137"/>
    </row>
    <row r="1006" spans="3:16" x14ac:dyDescent="0.25">
      <c r="C1006" s="137"/>
      <c r="D1006" s="137"/>
      <c r="E1006" s="137"/>
      <c r="F1006" s="137"/>
      <c r="G1006" s="137"/>
      <c r="H1006" s="137"/>
      <c r="I1006" s="137"/>
      <c r="J1006" s="137"/>
      <c r="K1006" s="137"/>
      <c r="L1006" s="137"/>
      <c r="M1006" s="137"/>
      <c r="N1006" s="137"/>
      <c r="O1006" s="137"/>
      <c r="P1006" s="137"/>
    </row>
    <row r="1007" spans="3:16" x14ac:dyDescent="0.25">
      <c r="C1007" s="137"/>
      <c r="D1007" s="137"/>
      <c r="E1007" s="137"/>
      <c r="F1007" s="137"/>
      <c r="G1007" s="137"/>
      <c r="H1007" s="137"/>
      <c r="I1007" s="137"/>
      <c r="J1007" s="137"/>
      <c r="K1007" s="137"/>
      <c r="L1007" s="137"/>
      <c r="M1007" s="137"/>
      <c r="N1007" s="137"/>
      <c r="O1007" s="137"/>
      <c r="P1007" s="137"/>
    </row>
    <row r="1008" spans="3:16" x14ac:dyDescent="0.25">
      <c r="C1008" s="137"/>
      <c r="D1008" s="137"/>
      <c r="E1008" s="137"/>
      <c r="F1008" s="137"/>
      <c r="G1008" s="137"/>
      <c r="H1008" s="137"/>
      <c r="I1008" s="137"/>
      <c r="J1008" s="137"/>
      <c r="K1008" s="137"/>
      <c r="L1008" s="137"/>
      <c r="M1008" s="137"/>
      <c r="N1008" s="137"/>
      <c r="O1008" s="137"/>
      <c r="P1008" s="137"/>
    </row>
    <row r="1009" spans="3:16" x14ac:dyDescent="0.25">
      <c r="C1009" s="137"/>
      <c r="D1009" s="137"/>
      <c r="E1009" s="137"/>
      <c r="F1009" s="137"/>
      <c r="G1009" s="137"/>
      <c r="H1009" s="137"/>
      <c r="I1009" s="137"/>
      <c r="J1009" s="137"/>
      <c r="K1009" s="137"/>
      <c r="L1009" s="137"/>
      <c r="M1009" s="137"/>
      <c r="N1009" s="137"/>
      <c r="O1009" s="137"/>
      <c r="P1009" s="137"/>
    </row>
    <row r="1010" spans="3:16" x14ac:dyDescent="0.25">
      <c r="C1010" s="137"/>
      <c r="D1010" s="137"/>
      <c r="E1010" s="137"/>
      <c r="F1010" s="137"/>
      <c r="G1010" s="137"/>
      <c r="H1010" s="137"/>
      <c r="I1010" s="137"/>
      <c r="J1010" s="137"/>
      <c r="K1010" s="137"/>
      <c r="L1010" s="137"/>
      <c r="M1010" s="137"/>
      <c r="N1010" s="137"/>
      <c r="O1010" s="137"/>
      <c r="P1010" s="137"/>
    </row>
    <row r="1011" spans="3:16" x14ac:dyDescent="0.25">
      <c r="C1011" s="137"/>
      <c r="D1011" s="137"/>
      <c r="E1011" s="137"/>
      <c r="F1011" s="137"/>
      <c r="G1011" s="137"/>
      <c r="H1011" s="137"/>
      <c r="I1011" s="137"/>
      <c r="J1011" s="137"/>
      <c r="K1011" s="137"/>
      <c r="L1011" s="137"/>
      <c r="M1011" s="137"/>
      <c r="N1011" s="137"/>
      <c r="O1011" s="137"/>
      <c r="P1011" s="137"/>
    </row>
    <row r="1012" spans="3:16" x14ac:dyDescent="0.25">
      <c r="C1012" s="137"/>
      <c r="D1012" s="137"/>
      <c r="E1012" s="137"/>
      <c r="F1012" s="137"/>
      <c r="G1012" s="137"/>
      <c r="H1012" s="137"/>
      <c r="I1012" s="137"/>
      <c r="J1012" s="137"/>
      <c r="K1012" s="137"/>
      <c r="L1012" s="137"/>
      <c r="M1012" s="137"/>
      <c r="N1012" s="137"/>
      <c r="O1012" s="137"/>
      <c r="P1012" s="137"/>
    </row>
    <row r="1013" spans="3:16" x14ac:dyDescent="0.25">
      <c r="C1013" s="137"/>
      <c r="D1013" s="137"/>
      <c r="E1013" s="137"/>
      <c r="F1013" s="137"/>
      <c r="G1013" s="137"/>
      <c r="H1013" s="137"/>
      <c r="I1013" s="137"/>
      <c r="J1013" s="137"/>
      <c r="K1013" s="137"/>
      <c r="L1013" s="137"/>
      <c r="M1013" s="137"/>
      <c r="N1013" s="137"/>
      <c r="O1013" s="137"/>
      <c r="P1013" s="137"/>
    </row>
    <row r="1014" spans="3:16" x14ac:dyDescent="0.25">
      <c r="C1014" s="137"/>
      <c r="D1014" s="137"/>
      <c r="E1014" s="137"/>
      <c r="F1014" s="137"/>
      <c r="G1014" s="137"/>
      <c r="H1014" s="137"/>
      <c r="I1014" s="137"/>
      <c r="J1014" s="137"/>
      <c r="K1014" s="137"/>
      <c r="L1014" s="137"/>
      <c r="M1014" s="137"/>
      <c r="N1014" s="137"/>
      <c r="O1014" s="137"/>
      <c r="P1014" s="137"/>
    </row>
    <row r="1015" spans="3:16" x14ac:dyDescent="0.25">
      <c r="C1015" s="137"/>
      <c r="D1015" s="137"/>
      <c r="E1015" s="137"/>
      <c r="F1015" s="137"/>
      <c r="G1015" s="137"/>
      <c r="H1015" s="137"/>
      <c r="I1015" s="137"/>
      <c r="J1015" s="137"/>
      <c r="K1015" s="137"/>
      <c r="L1015" s="137"/>
      <c r="M1015" s="137"/>
      <c r="N1015" s="137"/>
      <c r="O1015" s="137"/>
      <c r="P1015" s="137"/>
    </row>
    <row r="1016" spans="3:16" x14ac:dyDescent="0.25">
      <c r="C1016" s="137"/>
      <c r="D1016" s="137"/>
      <c r="E1016" s="137"/>
      <c r="F1016" s="137"/>
      <c r="G1016" s="137"/>
      <c r="H1016" s="137"/>
      <c r="I1016" s="137"/>
      <c r="J1016" s="137"/>
      <c r="K1016" s="137"/>
      <c r="L1016" s="137"/>
      <c r="M1016" s="137"/>
      <c r="N1016" s="137"/>
      <c r="O1016" s="137"/>
      <c r="P1016" s="137"/>
    </row>
    <row r="1017" spans="3:16" x14ac:dyDescent="0.25">
      <c r="C1017" s="137"/>
      <c r="D1017" s="137"/>
      <c r="E1017" s="137"/>
      <c r="F1017" s="137"/>
      <c r="G1017" s="137"/>
      <c r="H1017" s="137"/>
      <c r="I1017" s="137"/>
      <c r="J1017" s="137"/>
      <c r="K1017" s="137"/>
      <c r="L1017" s="137"/>
      <c r="M1017" s="137"/>
      <c r="N1017" s="137"/>
      <c r="O1017" s="137"/>
      <c r="P1017" s="137"/>
    </row>
    <row r="1018" spans="3:16" x14ac:dyDescent="0.25">
      <c r="C1018" s="137"/>
      <c r="D1018" s="137"/>
      <c r="E1018" s="137"/>
      <c r="F1018" s="137"/>
      <c r="G1018" s="137"/>
      <c r="H1018" s="137"/>
      <c r="I1018" s="137"/>
      <c r="J1018" s="137"/>
      <c r="K1018" s="137"/>
      <c r="L1018" s="137"/>
      <c r="M1018" s="137"/>
      <c r="N1018" s="137"/>
      <c r="O1018" s="137"/>
      <c r="P1018" s="137"/>
    </row>
    <row r="1019" spans="3:16" x14ac:dyDescent="0.25">
      <c r="C1019" s="137"/>
      <c r="D1019" s="137"/>
      <c r="E1019" s="137"/>
      <c r="F1019" s="137"/>
      <c r="G1019" s="137"/>
      <c r="H1019" s="137"/>
      <c r="I1019" s="137"/>
      <c r="J1019" s="137"/>
      <c r="K1019" s="137"/>
      <c r="L1019" s="137"/>
      <c r="M1019" s="137"/>
      <c r="N1019" s="137"/>
      <c r="O1019" s="137"/>
      <c r="P1019" s="137"/>
    </row>
    <row r="1020" spans="3:16" x14ac:dyDescent="0.25">
      <c r="C1020" s="137"/>
      <c r="D1020" s="137"/>
      <c r="E1020" s="137"/>
      <c r="F1020" s="137"/>
      <c r="G1020" s="137"/>
      <c r="H1020" s="137"/>
      <c r="I1020" s="137"/>
      <c r="J1020" s="137"/>
      <c r="K1020" s="137"/>
      <c r="L1020" s="137"/>
      <c r="M1020" s="137"/>
      <c r="N1020" s="137"/>
      <c r="O1020" s="137"/>
      <c r="P1020" s="137"/>
    </row>
    <row r="1021" spans="3:16" x14ac:dyDescent="0.25">
      <c r="C1021" s="137"/>
      <c r="D1021" s="137"/>
      <c r="E1021" s="137"/>
      <c r="F1021" s="137"/>
      <c r="G1021" s="137"/>
      <c r="H1021" s="137"/>
      <c r="I1021" s="137"/>
      <c r="J1021" s="137"/>
      <c r="K1021" s="137"/>
      <c r="L1021" s="137"/>
      <c r="M1021" s="137"/>
      <c r="N1021" s="137"/>
      <c r="O1021" s="137"/>
      <c r="P1021" s="137"/>
    </row>
    <row r="1022" spans="3:16" x14ac:dyDescent="0.25">
      <c r="C1022" s="137"/>
      <c r="D1022" s="137"/>
      <c r="E1022" s="137"/>
      <c r="F1022" s="137"/>
      <c r="G1022" s="137"/>
      <c r="H1022" s="137"/>
      <c r="I1022" s="137"/>
      <c r="J1022" s="137"/>
      <c r="K1022" s="137"/>
      <c r="L1022" s="137"/>
      <c r="M1022" s="137"/>
      <c r="N1022" s="137"/>
      <c r="O1022" s="137"/>
      <c r="P1022" s="137"/>
    </row>
    <row r="1023" spans="3:16" x14ac:dyDescent="0.25">
      <c r="C1023" s="137"/>
      <c r="D1023" s="137"/>
      <c r="E1023" s="137"/>
      <c r="F1023" s="137"/>
      <c r="G1023" s="137"/>
      <c r="H1023" s="137"/>
      <c r="I1023" s="137"/>
      <c r="J1023" s="137"/>
      <c r="K1023" s="137"/>
      <c r="L1023" s="137"/>
      <c r="M1023" s="137"/>
      <c r="N1023" s="137"/>
      <c r="O1023" s="137"/>
      <c r="P1023" s="137"/>
    </row>
    <row r="1024" spans="3:16" x14ac:dyDescent="0.25">
      <c r="C1024" s="137"/>
      <c r="D1024" s="137"/>
      <c r="E1024" s="137"/>
      <c r="F1024" s="137"/>
      <c r="G1024" s="137"/>
      <c r="H1024" s="137"/>
      <c r="I1024" s="137"/>
      <c r="J1024" s="137"/>
      <c r="K1024" s="137"/>
      <c r="L1024" s="137"/>
      <c r="M1024" s="137"/>
      <c r="N1024" s="137"/>
      <c r="O1024" s="137"/>
      <c r="P1024" s="137"/>
    </row>
    <row r="1025" spans="3:16" x14ac:dyDescent="0.25">
      <c r="C1025" s="137"/>
      <c r="D1025" s="137"/>
      <c r="E1025" s="137"/>
      <c r="F1025" s="137"/>
      <c r="G1025" s="137"/>
      <c r="H1025" s="137"/>
      <c r="I1025" s="137"/>
      <c r="J1025" s="137"/>
      <c r="K1025" s="137"/>
      <c r="L1025" s="137"/>
      <c r="M1025" s="137"/>
      <c r="N1025" s="137"/>
      <c r="O1025" s="137"/>
      <c r="P1025" s="137"/>
    </row>
    <row r="1026" spans="3:16" x14ac:dyDescent="0.25">
      <c r="C1026" s="137"/>
      <c r="D1026" s="137"/>
      <c r="E1026" s="137"/>
      <c r="F1026" s="137"/>
      <c r="G1026" s="137"/>
      <c r="H1026" s="137"/>
      <c r="I1026" s="137"/>
      <c r="J1026" s="137"/>
      <c r="K1026" s="137"/>
      <c r="L1026" s="137"/>
      <c r="M1026" s="137"/>
      <c r="N1026" s="137"/>
      <c r="O1026" s="137"/>
      <c r="P1026" s="137"/>
    </row>
    <row r="1027" spans="3:16" x14ac:dyDescent="0.25">
      <c r="C1027" s="137"/>
      <c r="D1027" s="137"/>
      <c r="E1027" s="137"/>
      <c r="F1027" s="137"/>
      <c r="G1027" s="137"/>
      <c r="H1027" s="137"/>
      <c r="I1027" s="137"/>
      <c r="J1027" s="137"/>
      <c r="K1027" s="137"/>
      <c r="L1027" s="137"/>
      <c r="M1027" s="137"/>
      <c r="N1027" s="137"/>
      <c r="O1027" s="137"/>
      <c r="P1027" s="137"/>
    </row>
    <row r="1028" spans="3:16" x14ac:dyDescent="0.25">
      <c r="C1028" s="137"/>
      <c r="D1028" s="137"/>
      <c r="E1028" s="137"/>
      <c r="F1028" s="137"/>
      <c r="G1028" s="137"/>
      <c r="H1028" s="137"/>
      <c r="I1028" s="137"/>
      <c r="J1028" s="137"/>
      <c r="K1028" s="137"/>
      <c r="L1028" s="137"/>
      <c r="M1028" s="137"/>
      <c r="N1028" s="137"/>
      <c r="O1028" s="137"/>
      <c r="P1028" s="137"/>
    </row>
    <row r="1029" spans="3:16" x14ac:dyDescent="0.25">
      <c r="C1029" s="137"/>
      <c r="D1029" s="137"/>
      <c r="E1029" s="137"/>
      <c r="F1029" s="137"/>
      <c r="G1029" s="137"/>
      <c r="H1029" s="137"/>
      <c r="I1029" s="137"/>
      <c r="J1029" s="137"/>
      <c r="K1029" s="137"/>
      <c r="L1029" s="137"/>
      <c r="M1029" s="137"/>
      <c r="N1029" s="137"/>
      <c r="O1029" s="137"/>
      <c r="P1029" s="137"/>
    </row>
    <row r="1030" spans="3:16" x14ac:dyDescent="0.25">
      <c r="C1030" s="137"/>
      <c r="D1030" s="137"/>
      <c r="E1030" s="137"/>
      <c r="F1030" s="137"/>
      <c r="G1030" s="137"/>
      <c r="H1030" s="137"/>
      <c r="I1030" s="137"/>
      <c r="J1030" s="137"/>
      <c r="K1030" s="137"/>
      <c r="L1030" s="137"/>
      <c r="M1030" s="137"/>
      <c r="N1030" s="137"/>
      <c r="O1030" s="137"/>
      <c r="P1030" s="137"/>
    </row>
    <row r="1031" spans="3:16" x14ac:dyDescent="0.25">
      <c r="C1031" s="137"/>
      <c r="D1031" s="137"/>
      <c r="E1031" s="137"/>
      <c r="F1031" s="137"/>
      <c r="G1031" s="137"/>
      <c r="H1031" s="137"/>
      <c r="I1031" s="137"/>
      <c r="J1031" s="137"/>
      <c r="K1031" s="137"/>
      <c r="L1031" s="137"/>
      <c r="M1031" s="137"/>
      <c r="N1031" s="137"/>
      <c r="O1031" s="137"/>
      <c r="P1031" s="137"/>
    </row>
    <row r="1032" spans="3:16" x14ac:dyDescent="0.25">
      <c r="C1032" s="137"/>
      <c r="D1032" s="137"/>
      <c r="E1032" s="137"/>
      <c r="F1032" s="137"/>
      <c r="G1032" s="137"/>
      <c r="H1032" s="137"/>
      <c r="I1032" s="137"/>
      <c r="J1032" s="137"/>
      <c r="K1032" s="137"/>
      <c r="L1032" s="137"/>
      <c r="M1032" s="137"/>
      <c r="N1032" s="137"/>
      <c r="O1032" s="137"/>
      <c r="P1032" s="137"/>
    </row>
    <row r="1033" spans="3:16" x14ac:dyDescent="0.25">
      <c r="C1033" s="137"/>
      <c r="D1033" s="137"/>
      <c r="E1033" s="137"/>
      <c r="F1033" s="137"/>
      <c r="G1033" s="137"/>
      <c r="H1033" s="137"/>
      <c r="I1033" s="137"/>
      <c r="J1033" s="137"/>
      <c r="K1033" s="137"/>
      <c r="L1033" s="137"/>
      <c r="M1033" s="137"/>
      <c r="N1033" s="137"/>
      <c r="O1033" s="137"/>
      <c r="P1033" s="137"/>
    </row>
    <row r="1034" spans="3:16" x14ac:dyDescent="0.25">
      <c r="C1034" s="137"/>
      <c r="D1034" s="137"/>
      <c r="E1034" s="137"/>
      <c r="F1034" s="137"/>
      <c r="G1034" s="137"/>
      <c r="H1034" s="137"/>
      <c r="I1034" s="137"/>
      <c r="J1034" s="137"/>
      <c r="K1034" s="137"/>
      <c r="L1034" s="137"/>
      <c r="M1034" s="137"/>
      <c r="N1034" s="137"/>
      <c r="O1034" s="137"/>
      <c r="P1034" s="137"/>
    </row>
    <row r="1035" spans="3:16" x14ac:dyDescent="0.25">
      <c r="C1035" s="137"/>
      <c r="D1035" s="137"/>
      <c r="E1035" s="137"/>
      <c r="F1035" s="137"/>
      <c r="G1035" s="137"/>
      <c r="H1035" s="137"/>
      <c r="I1035" s="137"/>
      <c r="J1035" s="137"/>
      <c r="K1035" s="137"/>
      <c r="L1035" s="137"/>
      <c r="M1035" s="137"/>
      <c r="N1035" s="137"/>
      <c r="O1035" s="137"/>
      <c r="P1035" s="137"/>
    </row>
    <row r="1036" spans="3:16" x14ac:dyDescent="0.25">
      <c r="C1036" s="137"/>
      <c r="D1036" s="137"/>
      <c r="E1036" s="137"/>
      <c r="F1036" s="137"/>
      <c r="G1036" s="137"/>
      <c r="H1036" s="137"/>
      <c r="I1036" s="137"/>
      <c r="J1036" s="137"/>
      <c r="K1036" s="137"/>
      <c r="L1036" s="137"/>
      <c r="M1036" s="137"/>
      <c r="N1036" s="137"/>
      <c r="O1036" s="137"/>
      <c r="P1036" s="137"/>
    </row>
    <row r="1037" spans="3:16" x14ac:dyDescent="0.25">
      <c r="C1037" s="137"/>
      <c r="D1037" s="137"/>
      <c r="E1037" s="137"/>
      <c r="F1037" s="137"/>
      <c r="G1037" s="137"/>
      <c r="H1037" s="137"/>
      <c r="I1037" s="137"/>
      <c r="J1037" s="137"/>
      <c r="K1037" s="137"/>
      <c r="L1037" s="137"/>
      <c r="M1037" s="137"/>
      <c r="N1037" s="137"/>
      <c r="O1037" s="137"/>
      <c r="P1037" s="137"/>
    </row>
    <row r="1038" spans="3:16" x14ac:dyDescent="0.25">
      <c r="C1038" s="137"/>
      <c r="D1038" s="137"/>
      <c r="E1038" s="137"/>
      <c r="F1038" s="137"/>
      <c r="G1038" s="137"/>
      <c r="H1038" s="137"/>
      <c r="I1038" s="137"/>
      <c r="J1038" s="137"/>
      <c r="K1038" s="137"/>
      <c r="L1038" s="137"/>
      <c r="M1038" s="137"/>
      <c r="N1038" s="137"/>
      <c r="O1038" s="137"/>
      <c r="P1038" s="137"/>
    </row>
    <row r="1039" spans="3:16" x14ac:dyDescent="0.25">
      <c r="C1039" s="137"/>
      <c r="D1039" s="137"/>
      <c r="E1039" s="137"/>
      <c r="F1039" s="137"/>
      <c r="G1039" s="137"/>
      <c r="H1039" s="137"/>
      <c r="I1039" s="137"/>
      <c r="J1039" s="137"/>
      <c r="K1039" s="137"/>
      <c r="L1039" s="137"/>
      <c r="M1039" s="137"/>
      <c r="N1039" s="137"/>
      <c r="O1039" s="137"/>
      <c r="P1039" s="137"/>
    </row>
    <row r="1040" spans="3:16" x14ac:dyDescent="0.25">
      <c r="C1040" s="137"/>
      <c r="D1040" s="137"/>
      <c r="E1040" s="137"/>
      <c r="F1040" s="137"/>
      <c r="G1040" s="137"/>
      <c r="H1040" s="137"/>
      <c r="I1040" s="137"/>
      <c r="J1040" s="137"/>
      <c r="K1040" s="137"/>
      <c r="L1040" s="137"/>
      <c r="M1040" s="137"/>
      <c r="N1040" s="137"/>
      <c r="O1040" s="137"/>
      <c r="P1040" s="137"/>
    </row>
    <row r="1041" spans="3:16" x14ac:dyDescent="0.25">
      <c r="C1041" s="137"/>
      <c r="D1041" s="137"/>
      <c r="E1041" s="137"/>
      <c r="F1041" s="137"/>
      <c r="G1041" s="137"/>
      <c r="H1041" s="137"/>
      <c r="I1041" s="137"/>
      <c r="J1041" s="137"/>
      <c r="K1041" s="137"/>
      <c r="L1041" s="137"/>
      <c r="M1041" s="137"/>
      <c r="N1041" s="137"/>
      <c r="O1041" s="137"/>
      <c r="P1041" s="137"/>
    </row>
    <row r="1042" spans="3:16" x14ac:dyDescent="0.25">
      <c r="C1042" s="137"/>
      <c r="D1042" s="137"/>
      <c r="E1042" s="137"/>
      <c r="F1042" s="137"/>
      <c r="G1042" s="137"/>
      <c r="H1042" s="137"/>
      <c r="I1042" s="137"/>
      <c r="J1042" s="137"/>
      <c r="K1042" s="137"/>
      <c r="L1042" s="137"/>
      <c r="M1042" s="137"/>
      <c r="N1042" s="137"/>
      <c r="O1042" s="137"/>
      <c r="P1042" s="137"/>
    </row>
    <row r="1043" spans="3:16" x14ac:dyDescent="0.25">
      <c r="C1043" s="137"/>
      <c r="D1043" s="137"/>
      <c r="E1043" s="137"/>
      <c r="F1043" s="137"/>
      <c r="G1043" s="137"/>
      <c r="H1043" s="137"/>
      <c r="I1043" s="137"/>
      <c r="J1043" s="137"/>
      <c r="K1043" s="137"/>
      <c r="L1043" s="137"/>
      <c r="M1043" s="137"/>
      <c r="N1043" s="137"/>
      <c r="O1043" s="137"/>
      <c r="P1043" s="137"/>
    </row>
    <row r="1044" spans="3:16" x14ac:dyDescent="0.25">
      <c r="C1044" s="137"/>
      <c r="D1044" s="137"/>
      <c r="E1044" s="137"/>
      <c r="F1044" s="137"/>
      <c r="G1044" s="137"/>
      <c r="H1044" s="137"/>
      <c r="I1044" s="137"/>
      <c r="J1044" s="137"/>
      <c r="K1044" s="137"/>
      <c r="L1044" s="137"/>
      <c r="M1044" s="137"/>
      <c r="N1044" s="137"/>
      <c r="O1044" s="137"/>
      <c r="P1044" s="137"/>
    </row>
    <row r="1045" spans="3:16" x14ac:dyDescent="0.25">
      <c r="C1045" s="137"/>
      <c r="D1045" s="137"/>
      <c r="E1045" s="137"/>
      <c r="F1045" s="137"/>
      <c r="G1045" s="137"/>
      <c r="H1045" s="137"/>
      <c r="I1045" s="137"/>
      <c r="J1045" s="137"/>
      <c r="K1045" s="137"/>
      <c r="L1045" s="137"/>
      <c r="M1045" s="137"/>
      <c r="N1045" s="137"/>
      <c r="O1045" s="137"/>
      <c r="P1045" s="137"/>
    </row>
    <row r="1046" spans="3:16" x14ac:dyDescent="0.25">
      <c r="C1046" s="137"/>
      <c r="D1046" s="137"/>
      <c r="E1046" s="137"/>
      <c r="F1046" s="137"/>
      <c r="G1046" s="137"/>
      <c r="H1046" s="137"/>
      <c r="I1046" s="137"/>
      <c r="J1046" s="137"/>
      <c r="K1046" s="137"/>
      <c r="L1046" s="137"/>
      <c r="M1046" s="137"/>
      <c r="N1046" s="137"/>
      <c r="O1046" s="137"/>
      <c r="P1046" s="137"/>
    </row>
    <row r="1047" spans="3:16" x14ac:dyDescent="0.25">
      <c r="C1047" s="137"/>
      <c r="D1047" s="137"/>
      <c r="E1047" s="137"/>
      <c r="F1047" s="137"/>
      <c r="G1047" s="137"/>
      <c r="H1047" s="137"/>
      <c r="I1047" s="137"/>
      <c r="J1047" s="137"/>
      <c r="K1047" s="137"/>
      <c r="L1047" s="137"/>
      <c r="M1047" s="137"/>
      <c r="N1047" s="137"/>
      <c r="O1047" s="137"/>
      <c r="P1047" s="137"/>
    </row>
    <row r="1048" spans="3:16" x14ac:dyDescent="0.25">
      <c r="C1048" s="137"/>
      <c r="D1048" s="137"/>
      <c r="E1048" s="137"/>
      <c r="F1048" s="137"/>
      <c r="G1048" s="137"/>
      <c r="H1048" s="137"/>
      <c r="I1048" s="137"/>
      <c r="J1048" s="137"/>
      <c r="K1048" s="137"/>
      <c r="L1048" s="137"/>
      <c r="M1048" s="137"/>
      <c r="N1048" s="137"/>
      <c r="O1048" s="137"/>
      <c r="P1048" s="137"/>
    </row>
    <row r="1049" spans="3:16" x14ac:dyDescent="0.25">
      <c r="C1049" s="137"/>
      <c r="D1049" s="137"/>
      <c r="E1049" s="137"/>
      <c r="F1049" s="137"/>
      <c r="G1049" s="137"/>
      <c r="H1049" s="137"/>
      <c r="I1049" s="137"/>
      <c r="J1049" s="137"/>
      <c r="K1049" s="137"/>
      <c r="L1049" s="137"/>
      <c r="M1049" s="137"/>
      <c r="N1049" s="137"/>
      <c r="O1049" s="137"/>
      <c r="P1049" s="137"/>
    </row>
  </sheetData>
  <mergeCells count="10">
    <mergeCell ref="A1:L1"/>
    <mergeCell ref="A232:B232"/>
    <mergeCell ref="A211:B211"/>
    <mergeCell ref="A72:B72"/>
    <mergeCell ref="A4:B4"/>
    <mergeCell ref="A99:B99"/>
    <mergeCell ref="A65:B65"/>
    <mergeCell ref="A87:B87"/>
    <mergeCell ref="A92:B92"/>
    <mergeCell ref="A206:B206"/>
  </mergeCells>
  <phoneticPr fontId="3" type="noConversion"/>
  <pageMargins left="0.5" right="0.78740157480314965" top="0.17" bottom="0.17" header="0.51181102362204722" footer="0.25"/>
  <pageSetup paperSize="9" scale="23" orientation="landscape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4">
    <pageSetUpPr fitToPage="1"/>
  </sheetPr>
  <dimension ref="A1:K129"/>
  <sheetViews>
    <sheetView topLeftCell="A46" workbookViewId="0">
      <selection sqref="A1:F62"/>
    </sheetView>
  </sheetViews>
  <sheetFormatPr defaultRowHeight="12.6" x14ac:dyDescent="0.25"/>
  <cols>
    <col min="4" max="4" width="10.44140625" customWidth="1"/>
    <col min="5" max="5" width="13" customWidth="1"/>
    <col min="6" max="6" width="20.6640625" customWidth="1"/>
    <col min="7" max="7" width="0.109375" customWidth="1"/>
    <col min="8" max="8" width="0.33203125" customWidth="1"/>
    <col min="9" max="9" width="10.88671875" bestFit="1" customWidth="1"/>
    <col min="10" max="10" width="12.33203125" bestFit="1" customWidth="1"/>
  </cols>
  <sheetData>
    <row r="1" spans="1:11" ht="29.25" customHeight="1" thickBot="1" x14ac:dyDescent="0.3">
      <c r="A1" s="2586" t="s">
        <v>561</v>
      </c>
      <c r="B1" s="2587"/>
      <c r="C1" s="2587"/>
      <c r="D1" s="2587"/>
      <c r="E1" s="2587"/>
      <c r="F1" s="2588"/>
    </row>
    <row r="2" spans="1:11" ht="0.75" customHeight="1" x14ac:dyDescent="0.25">
      <c r="A2" s="180" t="s">
        <v>148</v>
      </c>
      <c r="B2" s="53"/>
      <c r="C2" s="53"/>
    </row>
    <row r="3" spans="1:11" ht="0.75" customHeight="1" thickBot="1" x14ac:dyDescent="0.3">
      <c r="F3" s="15"/>
    </row>
    <row r="4" spans="1:11" ht="13.2" thickBot="1" x14ac:dyDescent="0.3">
      <c r="A4" s="2592" t="s">
        <v>151</v>
      </c>
      <c r="B4" s="2593"/>
      <c r="C4" s="2593"/>
      <c r="D4" s="2593"/>
      <c r="E4" s="2593"/>
      <c r="F4" s="2594"/>
      <c r="G4" s="204"/>
    </row>
    <row r="5" spans="1:11" x14ac:dyDescent="0.25">
      <c r="A5" s="469" t="s">
        <v>298</v>
      </c>
      <c r="B5" s="228"/>
      <c r="C5" s="228"/>
      <c r="D5" s="228"/>
      <c r="E5" s="228">
        <v>1</v>
      </c>
      <c r="F5" s="2402">
        <f>SUM('5.a.sz. melléklet'!C89)</f>
        <v>89899000</v>
      </c>
      <c r="G5" s="482" t="e">
        <f>'5. sz.melléklet'!F5</f>
        <v>#REF!</v>
      </c>
      <c r="H5" s="702" t="e">
        <f>SUM('5. sz.melléklet'!E5)</f>
        <v>#REF!</v>
      </c>
    </row>
    <row r="6" spans="1:11" x14ac:dyDescent="0.25">
      <c r="A6" s="469" t="s">
        <v>182</v>
      </c>
      <c r="B6" s="228"/>
      <c r="C6" s="228"/>
      <c r="D6" s="228"/>
      <c r="E6" s="228">
        <v>2</v>
      </c>
      <c r="F6" s="2402">
        <f>SUM('5.a.sz. melléklet'!D89)</f>
        <v>580834000</v>
      </c>
      <c r="G6" s="482">
        <f>'5. sz.melléklet'!F12</f>
        <v>580834000</v>
      </c>
      <c r="H6" s="703">
        <f>SUM('5. sz.melléklet'!I11)</f>
        <v>0</v>
      </c>
    </row>
    <row r="7" spans="1:11" x14ac:dyDescent="0.25">
      <c r="A7" s="469" t="s">
        <v>26</v>
      </c>
      <c r="B7" s="228"/>
      <c r="C7" s="228"/>
      <c r="D7" s="228"/>
      <c r="E7" s="228">
        <v>3</v>
      </c>
      <c r="F7" s="2402">
        <f>SUM('5.a.sz. melléklet'!E89)</f>
        <v>129565489</v>
      </c>
      <c r="G7" s="482">
        <f>'5. sz.melléklet'!D15+'5. sz.melléklet'!D16+'5. sz.melléklet'!D17+'5. sz.melléklet'!D18+'5. sz.melléklet'!D19+'5. sz.melléklet'!D20</f>
        <v>7356284</v>
      </c>
      <c r="H7" s="703">
        <f>SUM('5. sz.melléklet'!I21)</f>
        <v>0</v>
      </c>
    </row>
    <row r="8" spans="1:11" x14ac:dyDescent="0.25">
      <c r="A8" s="469" t="s">
        <v>301</v>
      </c>
      <c r="B8" s="228"/>
      <c r="C8" s="228"/>
      <c r="D8" s="228"/>
      <c r="E8" s="228">
        <v>4</v>
      </c>
      <c r="F8" s="2402">
        <f>SUM('5.a.sz. melléklet'!F89)</f>
        <v>20021600</v>
      </c>
      <c r="G8" s="482" t="e">
        <f>SUM('5.a.sz. melléklet'!F90)</f>
        <v>#REF!</v>
      </c>
      <c r="H8" s="704" t="e">
        <f>SUM('3.sz.melléklet'!D9)</f>
        <v>#REF!</v>
      </c>
      <c r="J8" s="56"/>
      <c r="K8" s="56"/>
    </row>
    <row r="9" spans="1:11" x14ac:dyDescent="0.25">
      <c r="A9" s="232" t="s">
        <v>8</v>
      </c>
      <c r="B9" s="233"/>
      <c r="C9" s="233"/>
      <c r="D9" s="233"/>
      <c r="E9" s="233" t="s">
        <v>70</v>
      </c>
      <c r="F9" s="2403">
        <f>SUM(F5:F8)</f>
        <v>820320089</v>
      </c>
      <c r="G9" s="483" t="e">
        <f>SUM(G5:G8)</f>
        <v>#REF!</v>
      </c>
      <c r="H9" s="701" t="e">
        <f>SUM(H5:H8)</f>
        <v>#REF!</v>
      </c>
      <c r="J9" s="228"/>
    </row>
    <row r="10" spans="1:11" x14ac:dyDescent="0.25">
      <c r="A10" s="469"/>
      <c r="B10" s="228"/>
      <c r="C10" s="228"/>
      <c r="D10" s="228"/>
      <c r="E10" s="228"/>
      <c r="F10" s="2402"/>
      <c r="G10" s="482"/>
      <c r="H10" s="705">
        <f>'5. sz.melléklet'!G10</f>
        <v>0</v>
      </c>
    </row>
    <row r="11" spans="1:11" x14ac:dyDescent="0.25">
      <c r="A11" s="469" t="s">
        <v>9</v>
      </c>
      <c r="B11" s="228"/>
      <c r="C11" s="228"/>
      <c r="D11" s="228"/>
      <c r="E11" s="228">
        <v>6</v>
      </c>
      <c r="F11" s="2402">
        <f>SUM('6. sz.melléklet'!C132)</f>
        <v>47666000</v>
      </c>
      <c r="G11" s="482">
        <f>'1.sz. melléklet'!C18</f>
        <v>47666108</v>
      </c>
      <c r="H11" s="703" t="e">
        <f>SUM('6. sz.melléklet'!C134)</f>
        <v>#REF!</v>
      </c>
    </row>
    <row r="12" spans="1:11" x14ac:dyDescent="0.25">
      <c r="A12" s="469" t="s">
        <v>309</v>
      </c>
      <c r="B12" s="228"/>
      <c r="C12" s="228"/>
      <c r="D12" s="228"/>
      <c r="E12" s="228">
        <v>7</v>
      </c>
      <c r="F12" s="2402">
        <f>SUM('6. sz.melléklet'!D132)</f>
        <v>11771000</v>
      </c>
      <c r="G12" s="482">
        <f>'1.sz. melléklet'!C19</f>
        <v>11771029</v>
      </c>
      <c r="H12" s="703" t="e">
        <f>SUM('6. sz.melléklet'!D134)</f>
        <v>#REF!</v>
      </c>
    </row>
    <row r="13" spans="1:11" x14ac:dyDescent="0.25">
      <c r="A13" s="231" t="s">
        <v>69</v>
      </c>
      <c r="B13" s="228"/>
      <c r="C13" s="228"/>
      <c r="D13" s="228"/>
      <c r="E13" s="228">
        <v>8</v>
      </c>
      <c r="F13" s="2402">
        <f>SUM('6. sz.melléklet'!E132)</f>
        <v>186435693</v>
      </c>
      <c r="G13" s="482">
        <f>'1.sz. melléklet'!C20</f>
        <v>120146892</v>
      </c>
      <c r="H13" s="703" t="e">
        <f>SUM('6. sz.melléklet'!E134)</f>
        <v>#REF!</v>
      </c>
    </row>
    <row r="14" spans="1:11" x14ac:dyDescent="0.25">
      <c r="A14" s="469" t="s">
        <v>227</v>
      </c>
      <c r="B14" s="228"/>
      <c r="C14" s="228"/>
      <c r="D14" s="228"/>
      <c r="E14" s="228">
        <v>10</v>
      </c>
      <c r="F14" s="2402">
        <f>SUM('6. sz.melléklet'!F132)</f>
        <v>21848000</v>
      </c>
      <c r="G14" s="482">
        <f>'1.sz. melléklet'!C21</f>
        <v>21851762</v>
      </c>
      <c r="H14" s="703" t="e">
        <f>SUM('6. sz.melléklet'!F134)</f>
        <v>#REF!</v>
      </c>
    </row>
    <row r="15" spans="1:11" x14ac:dyDescent="0.25">
      <c r="A15" s="469" t="s">
        <v>228</v>
      </c>
      <c r="B15" s="228"/>
      <c r="C15" s="228"/>
      <c r="D15" s="228"/>
      <c r="E15" s="228">
        <v>11</v>
      </c>
      <c r="F15" s="2402">
        <f>SUM('6. sz.melléklet'!I132)</f>
        <v>111248760</v>
      </c>
      <c r="G15" s="482">
        <f>'1.sz. melléklet'!C22</f>
        <v>79862511</v>
      </c>
      <c r="H15" s="704" t="e">
        <f>SUM('6. sz.melléklet'!I134)</f>
        <v>#REF!</v>
      </c>
    </row>
    <row r="16" spans="1:11" x14ac:dyDescent="0.25">
      <c r="A16" s="232" t="s">
        <v>10</v>
      </c>
      <c r="B16" s="233"/>
      <c r="C16" s="233"/>
      <c r="D16" s="233"/>
      <c r="E16" s="470" t="s">
        <v>72</v>
      </c>
      <c r="F16" s="2403">
        <f>SUM(F11:F15)</f>
        <v>378969453</v>
      </c>
      <c r="G16" s="483">
        <f>SUM(G11:G15)</f>
        <v>281298302</v>
      </c>
      <c r="H16" s="701" t="e">
        <f>SUM(H10:H15)</f>
        <v>#REF!</v>
      </c>
    </row>
    <row r="17" spans="1:10" ht="5.25" customHeight="1" x14ac:dyDescent="0.25">
      <c r="A17" s="237"/>
      <c r="B17" s="471"/>
      <c r="C17" s="471"/>
      <c r="D17" s="471"/>
      <c r="E17" s="472"/>
      <c r="F17" s="2404"/>
      <c r="G17" s="484"/>
      <c r="H17" s="647">
        <f>'5. sz.melléklet'!G17</f>
        <v>0</v>
      </c>
    </row>
    <row r="18" spans="1:10" x14ac:dyDescent="0.25">
      <c r="A18" s="237" t="s">
        <v>138</v>
      </c>
      <c r="B18" s="471"/>
      <c r="C18" s="471"/>
      <c r="D18" s="471"/>
      <c r="E18" s="472"/>
      <c r="F18" s="2404">
        <f>F9-F16</f>
        <v>441350636</v>
      </c>
      <c r="G18" s="589" t="e">
        <f>G9-G16</f>
        <v>#REF!</v>
      </c>
      <c r="H18" s="701" t="e">
        <f>SUM(H9-H16)</f>
        <v>#REF!</v>
      </c>
    </row>
    <row r="19" spans="1:10" ht="3.75" customHeight="1" thickBot="1" x14ac:dyDescent="0.3">
      <c r="A19" s="469"/>
      <c r="B19" s="228"/>
      <c r="C19" s="228"/>
      <c r="D19" s="228"/>
      <c r="E19" s="228"/>
      <c r="F19" s="229"/>
      <c r="G19" s="204"/>
      <c r="H19" s="647">
        <f>'5. sz.melléklet'!G19</f>
        <v>0</v>
      </c>
    </row>
    <row r="20" spans="1:10" ht="13.2" thickBot="1" x14ac:dyDescent="0.3">
      <c r="A20" s="2589" t="s">
        <v>150</v>
      </c>
      <c r="B20" s="2590"/>
      <c r="C20" s="2590"/>
      <c r="D20" s="2590"/>
      <c r="E20" s="2590"/>
      <c r="F20" s="2591"/>
      <c r="G20" s="133"/>
      <c r="H20" s="705">
        <f>'5. sz.melléklet'!G20</f>
        <v>0</v>
      </c>
    </row>
    <row r="21" spans="1:10" x14ac:dyDescent="0.25">
      <c r="A21" s="469" t="s">
        <v>11</v>
      </c>
      <c r="B21" s="228"/>
      <c r="C21" s="228"/>
      <c r="D21" s="228"/>
      <c r="E21" s="228">
        <v>13</v>
      </c>
      <c r="F21" s="2402">
        <f>SUM('5.a.sz. melléklet'!I89)</f>
        <v>217933000</v>
      </c>
      <c r="G21" s="482">
        <f>'1.sz. melléklet'!C9</f>
        <v>6224135</v>
      </c>
      <c r="H21" s="703" t="e">
        <f>SUM('1.sz. melléklet'!D9)</f>
        <v>#REF!</v>
      </c>
      <c r="I21" s="52"/>
      <c r="J21" s="52"/>
    </row>
    <row r="22" spans="1:10" x14ac:dyDescent="0.25">
      <c r="A22" s="469" t="s">
        <v>27</v>
      </c>
      <c r="B22" s="228"/>
      <c r="C22" s="228"/>
      <c r="D22" s="228"/>
      <c r="E22" s="228">
        <v>14</v>
      </c>
      <c r="F22" s="2402"/>
      <c r="G22" s="482"/>
      <c r="H22" s="703">
        <f>'5. sz.melléklet'!G22</f>
        <v>0</v>
      </c>
    </row>
    <row r="23" spans="1:10" x14ac:dyDescent="0.25">
      <c r="A23" s="469" t="s">
        <v>31</v>
      </c>
      <c r="B23" s="228"/>
      <c r="C23" s="228"/>
      <c r="D23" s="228"/>
      <c r="E23" s="228">
        <v>15</v>
      </c>
      <c r="F23" s="2402"/>
      <c r="G23" s="482"/>
      <c r="H23" s="703">
        <f>'5. sz.melléklet'!G23</f>
        <v>0</v>
      </c>
    </row>
    <row r="24" spans="1:10" x14ac:dyDescent="0.25">
      <c r="A24" s="469" t="s">
        <v>173</v>
      </c>
      <c r="B24" s="228"/>
      <c r="C24" s="228"/>
      <c r="D24" s="228"/>
      <c r="E24" s="228">
        <v>16</v>
      </c>
      <c r="F24" s="2402">
        <f>SUM('5.a.sz. melléklet'!G89)</f>
        <v>772274574</v>
      </c>
      <c r="G24" s="229">
        <v>240017</v>
      </c>
      <c r="H24" s="703" t="e">
        <f>SUM('5. sz.melléklet'!E39+'5. sz.melléklet'!E27+'5. sz.melléklet'!#REF!+'5. sz.melléklet'!E21)</f>
        <v>#REF!</v>
      </c>
    </row>
    <row r="25" spans="1:10" ht="26.25" customHeight="1" x14ac:dyDescent="0.25">
      <c r="A25" s="469" t="s">
        <v>12</v>
      </c>
      <c r="B25" s="228"/>
      <c r="C25" s="228"/>
      <c r="D25" s="228"/>
      <c r="E25" s="228">
        <v>17</v>
      </c>
      <c r="F25" s="2402"/>
      <c r="G25" s="330"/>
      <c r="H25" s="703">
        <f>'5. sz.melléklet'!G26</f>
        <v>0</v>
      </c>
      <c r="I25" s="330"/>
      <c r="J25" s="330"/>
    </row>
    <row r="26" spans="1:10" x14ac:dyDescent="0.25">
      <c r="A26" s="469" t="s">
        <v>86</v>
      </c>
      <c r="B26" s="228"/>
      <c r="C26" s="228"/>
      <c r="D26" s="228"/>
      <c r="E26" s="228">
        <v>18</v>
      </c>
      <c r="F26" s="2402"/>
      <c r="G26" s="482"/>
      <c r="H26" s="703" t="e">
        <f>'5. sz.melléklet'!#REF!</f>
        <v>#REF!</v>
      </c>
    </row>
    <row r="27" spans="1:10" x14ac:dyDescent="0.25">
      <c r="A27" s="469" t="s">
        <v>87</v>
      </c>
      <c r="B27" s="228"/>
      <c r="C27" s="228"/>
      <c r="D27" s="228"/>
      <c r="E27" s="228">
        <v>19</v>
      </c>
      <c r="F27" s="2402"/>
      <c r="G27" s="482"/>
      <c r="H27" s="704">
        <f>'5. sz.melléklet'!G27</f>
        <v>0</v>
      </c>
    </row>
    <row r="28" spans="1:10" x14ac:dyDescent="0.25">
      <c r="A28" s="232" t="s">
        <v>13</v>
      </c>
      <c r="B28" s="233"/>
      <c r="C28" s="233"/>
      <c r="D28" s="233"/>
      <c r="E28" s="470" t="s">
        <v>88</v>
      </c>
      <c r="F28" s="2403">
        <f>SUM(F21:F27)</f>
        <v>990207574</v>
      </c>
      <c r="G28" s="483">
        <f>SUM(G21:G27)</f>
        <v>6464152</v>
      </c>
      <c r="H28" s="647" t="e">
        <f>SUM(H19:H27)</f>
        <v>#REF!</v>
      </c>
    </row>
    <row r="29" spans="1:10" x14ac:dyDescent="0.25">
      <c r="A29" s="237"/>
      <c r="B29" s="471"/>
      <c r="C29" s="471"/>
      <c r="D29" s="471"/>
      <c r="E29" s="471"/>
      <c r="F29" s="2404"/>
      <c r="G29" s="484"/>
      <c r="H29" s="705" t="e">
        <f>'5. sz.melléklet'!#REF!</f>
        <v>#REF!</v>
      </c>
    </row>
    <row r="30" spans="1:10" x14ac:dyDescent="0.25">
      <c r="A30" s="469" t="s">
        <v>14</v>
      </c>
      <c r="B30" s="228"/>
      <c r="C30" s="228"/>
      <c r="D30" s="228"/>
      <c r="E30" s="228">
        <v>21</v>
      </c>
      <c r="F30" s="2402">
        <f>SUM('6. sz.melléklet'!H132)</f>
        <v>897562627</v>
      </c>
      <c r="G30" s="482">
        <f>'1.sz. melléklet'!C23</f>
        <v>445216190</v>
      </c>
      <c r="H30" s="703" t="e">
        <f>SUM('6. sz.melléklet'!H134)</f>
        <v>#REF!</v>
      </c>
      <c r="J30" s="1402"/>
    </row>
    <row r="31" spans="1:10" x14ac:dyDescent="0.25">
      <c r="A31" s="469" t="s">
        <v>15</v>
      </c>
      <c r="B31" s="228"/>
      <c r="C31" s="228"/>
      <c r="D31" s="228"/>
      <c r="E31" s="228">
        <v>22</v>
      </c>
      <c r="F31" s="2402">
        <f>SUM('6. sz.melléklet'!G132)</f>
        <v>294039503</v>
      </c>
      <c r="G31" s="482">
        <f>'1.sz. melléklet'!C24</f>
        <v>294038302</v>
      </c>
      <c r="H31" s="703" t="e">
        <f>SUM('6. sz.melléklet'!G134)</f>
        <v>#REF!</v>
      </c>
    </row>
    <row r="32" spans="1:10" x14ac:dyDescent="0.25">
      <c r="A32" s="469" t="s">
        <v>73</v>
      </c>
      <c r="B32" s="228"/>
      <c r="C32" s="228"/>
      <c r="D32" s="228"/>
      <c r="E32" s="228">
        <v>23</v>
      </c>
      <c r="F32" s="2402"/>
      <c r="G32" s="482"/>
      <c r="H32" s="703">
        <f>'5. sz.melléklet'!G37</f>
        <v>0</v>
      </c>
    </row>
    <row r="33" spans="1:8" x14ac:dyDescent="0.25">
      <c r="A33" s="469" t="s">
        <v>154</v>
      </c>
      <c r="B33" s="228"/>
      <c r="C33" s="228"/>
      <c r="D33" s="228"/>
      <c r="E33" s="228">
        <v>24</v>
      </c>
      <c r="F33" s="2402"/>
      <c r="G33" s="482"/>
      <c r="H33" s="703">
        <f>'5. sz.melléklet'!G38</f>
        <v>0</v>
      </c>
    </row>
    <row r="34" spans="1:8" x14ac:dyDescent="0.25">
      <c r="A34" s="469" t="s">
        <v>174</v>
      </c>
      <c r="B34" s="228"/>
      <c r="C34" s="228"/>
      <c r="D34" s="228"/>
      <c r="E34" s="228">
        <v>25</v>
      </c>
      <c r="F34" s="2402">
        <f>SUM('6. sz.melléklet'!J132)</f>
        <v>6127431</v>
      </c>
      <c r="G34" s="482">
        <f>'1.sz. melléklet'!C25</f>
        <v>6150195</v>
      </c>
      <c r="H34" s="704" t="e">
        <f>SUM('6. sz.melléklet'!J134)</f>
        <v>#REF!</v>
      </c>
    </row>
    <row r="35" spans="1:8" x14ac:dyDescent="0.25">
      <c r="A35" s="232" t="s">
        <v>16</v>
      </c>
      <c r="B35" s="233"/>
      <c r="C35" s="233"/>
      <c r="D35" s="233"/>
      <c r="E35" s="233" t="s">
        <v>155</v>
      </c>
      <c r="F35" s="2403">
        <f>SUM(F30:F34)</f>
        <v>1197729561</v>
      </c>
      <c r="G35" s="483">
        <f>SUM(G30:G34)</f>
        <v>745404687</v>
      </c>
      <c r="H35" s="647" t="e">
        <f>SUM(H29:H34)</f>
        <v>#REF!</v>
      </c>
    </row>
    <row r="36" spans="1:8" x14ac:dyDescent="0.25">
      <c r="A36" s="237"/>
      <c r="B36" s="471"/>
      <c r="C36" s="471"/>
      <c r="D36" s="471"/>
      <c r="E36" s="471"/>
      <c r="F36" s="2404"/>
      <c r="G36" s="484"/>
      <c r="H36" s="647">
        <f>'5. sz.melléklet'!G41</f>
        <v>0</v>
      </c>
    </row>
    <row r="37" spans="1:8" ht="14.25" customHeight="1" thickBot="1" x14ac:dyDescent="0.3">
      <c r="A37" s="232" t="s">
        <v>172</v>
      </c>
      <c r="B37" s="233"/>
      <c r="C37" s="233"/>
      <c r="D37" s="233"/>
      <c r="E37" s="233"/>
      <c r="F37" s="2403">
        <f>F28-F35</f>
        <v>-207521987</v>
      </c>
      <c r="G37" s="485">
        <f>G28-G35</f>
        <v>-738940535</v>
      </c>
      <c r="H37" s="647" t="e">
        <f>SUM(H28-H35)</f>
        <v>#REF!</v>
      </c>
    </row>
    <row r="38" spans="1:8" ht="13.2" thickBot="1" x14ac:dyDescent="0.3">
      <c r="A38" s="237"/>
      <c r="B38" s="471"/>
      <c r="C38" s="471"/>
      <c r="D38" s="471"/>
      <c r="E38" s="471"/>
      <c r="F38" s="230"/>
      <c r="G38" s="417"/>
      <c r="H38" s="647">
        <f>'5. sz.melléklet'!G43</f>
        <v>0</v>
      </c>
    </row>
    <row r="39" spans="1:8" ht="17.25" customHeight="1" thickBot="1" x14ac:dyDescent="0.3">
      <c r="A39" s="2589" t="s">
        <v>149</v>
      </c>
      <c r="B39" s="2590"/>
      <c r="C39" s="2590"/>
      <c r="D39" s="2590"/>
      <c r="E39" s="2590"/>
      <c r="F39" s="2591"/>
      <c r="G39" s="417"/>
      <c r="H39" s="647">
        <f>'5. sz.melléklet'!G44</f>
        <v>0</v>
      </c>
    </row>
    <row r="40" spans="1:8" x14ac:dyDescent="0.25">
      <c r="A40" s="237"/>
      <c r="B40" s="471"/>
      <c r="C40" s="471"/>
      <c r="D40" s="471"/>
      <c r="E40" s="471"/>
      <c r="F40" s="230"/>
      <c r="G40" s="418"/>
      <c r="H40" s="647">
        <f>'5. sz.melléklet'!G45</f>
        <v>0</v>
      </c>
    </row>
    <row r="41" spans="1:8" ht="21" customHeight="1" x14ac:dyDescent="0.25">
      <c r="A41" s="232" t="s">
        <v>84</v>
      </c>
      <c r="B41" s="233"/>
      <c r="C41" s="233"/>
      <c r="D41" s="233"/>
      <c r="E41" s="233">
        <v>26</v>
      </c>
      <c r="F41" s="2403">
        <f>SUM('5.a.sz. melléklet'!K89)</f>
        <v>300000000</v>
      </c>
      <c r="G41" s="483" t="e">
        <f>SUM('5.a.sz. melléklet'!K90)</f>
        <v>#REF!</v>
      </c>
      <c r="H41" s="705" t="e">
        <f>SUM('5.a.sz. melléklet'!K91)</f>
        <v>#REF!</v>
      </c>
    </row>
    <row r="42" spans="1:8" x14ac:dyDescent="0.25">
      <c r="A42" s="237"/>
      <c r="B42" s="471"/>
      <c r="C42" s="471"/>
      <c r="D42" s="471"/>
      <c r="E42" s="471"/>
      <c r="F42" s="2404"/>
      <c r="G42" s="484"/>
      <c r="H42" s="703">
        <f>'5. sz.melléklet'!G48</f>
        <v>0</v>
      </c>
    </row>
    <row r="43" spans="1:8" x14ac:dyDescent="0.25">
      <c r="A43" s="473" t="s">
        <v>400</v>
      </c>
      <c r="B43" s="228"/>
      <c r="C43" s="228"/>
      <c r="D43" s="228"/>
      <c r="E43" s="228">
        <v>27</v>
      </c>
      <c r="F43" s="2402">
        <f>SUM('6. sz.melléklet'!M127)</f>
        <v>100000000</v>
      </c>
      <c r="G43" s="482">
        <f>SUM('6. sz.melléklet'!M128)</f>
        <v>148750</v>
      </c>
      <c r="H43" s="703">
        <f>SUM('6. sz.melléklet'!M129)</f>
        <v>0</v>
      </c>
    </row>
    <row r="44" spans="1:8" x14ac:dyDescent="0.25">
      <c r="A44" s="473" t="s">
        <v>409</v>
      </c>
      <c r="B44" s="228"/>
      <c r="C44" s="228"/>
      <c r="D44" s="228"/>
      <c r="E44" s="228">
        <v>28</v>
      </c>
      <c r="F44" s="2402"/>
      <c r="G44" s="482">
        <f>SUM('6. sz.melléklet'!M7)</f>
        <v>0</v>
      </c>
      <c r="H44" s="703">
        <f>SUM('6. sz.melléklet'!M8)</f>
        <v>0</v>
      </c>
    </row>
    <row r="45" spans="1:8" x14ac:dyDescent="0.25">
      <c r="A45" s="473" t="s">
        <v>310</v>
      </c>
      <c r="B45" s="228"/>
      <c r="C45" s="228"/>
      <c r="D45" s="228"/>
      <c r="E45" s="228">
        <v>29</v>
      </c>
      <c r="F45" s="2402">
        <f>SUM('6. sz.melléklet'!M21)</f>
        <v>451463000</v>
      </c>
      <c r="G45" s="482">
        <f>SUM('1.sz. melléklet'!F12+'1.sz. melléklet'!I12+'1.sz. melléklet'!L12+'1.sz. melléklet'!O12)-184</f>
        <v>432134782</v>
      </c>
      <c r="H45" s="703">
        <f>SUM('6. sz.melléklet'!M23)</f>
        <v>0</v>
      </c>
    </row>
    <row r="46" spans="1:8" x14ac:dyDescent="0.25">
      <c r="A46" s="473" t="s">
        <v>410</v>
      </c>
      <c r="B46" s="228"/>
      <c r="C46" s="228"/>
      <c r="D46" s="228"/>
      <c r="E46" s="228">
        <v>30</v>
      </c>
      <c r="F46" s="2402">
        <f>SUM('6. sz.melléklet'!M14)</f>
        <v>1233365</v>
      </c>
      <c r="G46" s="482">
        <f>SUM('6. sz.melléklet'!M15)</f>
        <v>1233365</v>
      </c>
      <c r="H46" s="704" t="e">
        <f>SUM('6. sz.melléklet'!#REF!)</f>
        <v>#REF!</v>
      </c>
    </row>
    <row r="47" spans="1:8" x14ac:dyDescent="0.25">
      <c r="A47" s="232" t="s">
        <v>85</v>
      </c>
      <c r="B47" s="233"/>
      <c r="C47" s="233"/>
      <c r="D47" s="233"/>
      <c r="E47" s="233" t="s">
        <v>311</v>
      </c>
      <c r="F47" s="2403">
        <f>SUM(F43:F46)</f>
        <v>552696365</v>
      </c>
      <c r="G47" s="483">
        <f>SUM(G43:G46)</f>
        <v>433516897</v>
      </c>
      <c r="H47" s="647" t="e">
        <f>SUM(H41:H46)</f>
        <v>#REF!</v>
      </c>
    </row>
    <row r="48" spans="1:8" x14ac:dyDescent="0.25">
      <c r="A48" s="237"/>
      <c r="B48" s="471"/>
      <c r="C48" s="471"/>
      <c r="D48" s="471"/>
      <c r="E48" s="471"/>
      <c r="F48" s="2404">
        <f>SUM(F41-F47)</f>
        <v>-252696365</v>
      </c>
      <c r="G48" s="484" t="e">
        <f>SUM(G41-G47)</f>
        <v>#REF!</v>
      </c>
      <c r="H48" s="705">
        <f>'5. sz.melléklet'!G52</f>
        <v>0</v>
      </c>
    </row>
    <row r="49" spans="1:8" x14ac:dyDescent="0.25">
      <c r="A49" s="232" t="s">
        <v>71</v>
      </c>
      <c r="B49" s="233"/>
      <c r="C49" s="233"/>
      <c r="D49" s="233"/>
      <c r="E49" s="233"/>
      <c r="F49" s="2403"/>
      <c r="G49" s="483"/>
      <c r="H49" s="703">
        <f>'5. sz.melléklet'!G53</f>
        <v>0</v>
      </c>
    </row>
    <row r="50" spans="1:8" x14ac:dyDescent="0.25">
      <c r="A50" s="232" t="s">
        <v>414</v>
      </c>
      <c r="B50" s="233"/>
      <c r="C50" s="233"/>
      <c r="D50" s="233"/>
      <c r="E50" s="233"/>
      <c r="F50" s="2403"/>
      <c r="G50" s="483"/>
      <c r="H50" s="703">
        <f>'5. sz.melléklet'!G54</f>
        <v>0</v>
      </c>
    </row>
    <row r="51" spans="1:8" x14ac:dyDescent="0.25">
      <c r="A51" s="232" t="s">
        <v>139</v>
      </c>
      <c r="B51" s="233"/>
      <c r="C51" s="233"/>
      <c r="D51" s="233"/>
      <c r="E51" s="233"/>
      <c r="F51" s="2403"/>
      <c r="G51" s="483"/>
      <c r="H51" s="703">
        <f>'5. sz.melléklet'!G55</f>
        <v>0</v>
      </c>
    </row>
    <row r="52" spans="1:8" x14ac:dyDescent="0.25">
      <c r="A52" s="237"/>
      <c r="B52" s="471"/>
      <c r="C52" s="471"/>
      <c r="D52" s="471"/>
      <c r="E52" s="471"/>
      <c r="F52" s="2404"/>
      <c r="G52" s="484"/>
      <c r="H52" s="703">
        <f>'5. sz.melléklet'!G56</f>
        <v>0</v>
      </c>
    </row>
    <row r="53" spans="1:8" x14ac:dyDescent="0.25">
      <c r="A53" s="474" t="s">
        <v>17</v>
      </c>
      <c r="B53" s="475"/>
      <c r="C53" s="475"/>
      <c r="D53" s="475"/>
      <c r="E53" s="476" t="s">
        <v>312</v>
      </c>
      <c r="F53" s="2405">
        <f>F9+F28+F41</f>
        <v>2110527663</v>
      </c>
      <c r="G53" s="486" t="e">
        <f>G9+G28+G41</f>
        <v>#REF!</v>
      </c>
      <c r="H53" s="706" t="e">
        <f>H9+H28+H41</f>
        <v>#REF!</v>
      </c>
    </row>
    <row r="54" spans="1:8" x14ac:dyDescent="0.25">
      <c r="A54" s="232" t="s">
        <v>18</v>
      </c>
      <c r="B54" s="233"/>
      <c r="C54" s="233"/>
      <c r="D54" s="233"/>
      <c r="E54" s="233" t="s">
        <v>313</v>
      </c>
      <c r="F54" s="2403">
        <f>F16+F35+F47</f>
        <v>2129395379</v>
      </c>
      <c r="G54" s="483">
        <f>G16+G35+G47</f>
        <v>1460219886</v>
      </c>
      <c r="H54" s="706" t="e">
        <f>H16+H35+H47</f>
        <v>#REF!</v>
      </c>
    </row>
    <row r="55" spans="1:8" x14ac:dyDescent="0.25">
      <c r="A55" s="469"/>
      <c r="B55" s="228"/>
      <c r="C55" s="228"/>
      <c r="D55" s="228"/>
      <c r="E55" s="228"/>
      <c r="F55" s="2402"/>
      <c r="G55" s="482"/>
      <c r="H55" s="703">
        <f>'5. sz.melléklet'!G59</f>
        <v>0</v>
      </c>
    </row>
    <row r="56" spans="1:8" x14ac:dyDescent="0.25">
      <c r="A56" s="232" t="s">
        <v>509</v>
      </c>
      <c r="B56" s="233"/>
      <c r="C56" s="233"/>
      <c r="D56" s="233"/>
      <c r="E56" s="233" t="s">
        <v>314</v>
      </c>
      <c r="F56" s="2406">
        <f>F53-F54</f>
        <v>-18867716</v>
      </c>
      <c r="G56" s="233" t="e">
        <f>SUM(G54-G53)</f>
        <v>#REF!</v>
      </c>
      <c r="H56" s="707" t="e">
        <f>SUM(H54-H53)</f>
        <v>#REF!</v>
      </c>
    </row>
    <row r="57" spans="1:8" x14ac:dyDescent="0.25">
      <c r="A57" s="234" t="s">
        <v>156</v>
      </c>
      <c r="B57" s="235"/>
      <c r="C57" s="235"/>
      <c r="D57" s="235"/>
      <c r="E57" s="235"/>
      <c r="F57" s="2407"/>
      <c r="G57" s="235"/>
      <c r="H57" s="703">
        <f>'5. sz.melléklet'!G61</f>
        <v>0</v>
      </c>
    </row>
    <row r="58" spans="1:8" x14ac:dyDescent="0.25">
      <c r="A58" s="234" t="s">
        <v>465</v>
      </c>
      <c r="B58" s="236"/>
      <c r="C58" s="236"/>
      <c r="D58" s="236"/>
      <c r="E58" s="236"/>
      <c r="F58" s="2407">
        <v>18867716</v>
      </c>
      <c r="G58" s="235" t="e">
        <f>SUM(G56)</f>
        <v>#REF!</v>
      </c>
      <c r="H58" s="703">
        <v>661122</v>
      </c>
    </row>
    <row r="59" spans="1:8" x14ac:dyDescent="0.25">
      <c r="A59" s="237" t="s">
        <v>411</v>
      </c>
      <c r="B59" s="228"/>
      <c r="C59" s="228"/>
      <c r="D59" s="228"/>
      <c r="E59" s="228"/>
      <c r="F59" s="2364">
        <v>18867716</v>
      </c>
      <c r="G59" s="228" t="e">
        <f>SUM(G58)</f>
        <v>#REF!</v>
      </c>
      <c r="H59" s="703">
        <v>37255</v>
      </c>
    </row>
    <row r="60" spans="1:8" x14ac:dyDescent="0.25">
      <c r="A60" s="237" t="s">
        <v>412</v>
      </c>
      <c r="B60" s="228"/>
      <c r="C60" s="228"/>
      <c r="D60" s="228"/>
      <c r="E60" s="228"/>
      <c r="F60" s="2364"/>
      <c r="G60" s="228"/>
      <c r="H60" s="703">
        <v>623867</v>
      </c>
    </row>
    <row r="61" spans="1:8" ht="13.2" thickBot="1" x14ac:dyDescent="0.3">
      <c r="A61" s="239" t="s">
        <v>413</v>
      </c>
      <c r="B61" s="240"/>
      <c r="C61" s="240"/>
      <c r="D61" s="240"/>
      <c r="E61" s="240"/>
      <c r="F61" s="2408"/>
      <c r="G61" s="240"/>
      <c r="H61" s="708">
        <f>'5. sz.melléklet'!G65</f>
        <v>0</v>
      </c>
    </row>
    <row r="62" spans="1:8" ht="13.2" thickBot="1" x14ac:dyDescent="0.3">
      <c r="A62" s="239" t="s">
        <v>413</v>
      </c>
      <c r="B62" s="240"/>
      <c r="C62" s="240"/>
      <c r="D62" s="240"/>
      <c r="E62" s="240"/>
      <c r="F62" s="2408"/>
    </row>
    <row r="63" spans="1:8" x14ac:dyDescent="0.25">
      <c r="F63" s="52"/>
    </row>
    <row r="64" spans="1:8" x14ac:dyDescent="0.25">
      <c r="F64" s="52"/>
    </row>
    <row r="65" spans="6:6" x14ac:dyDescent="0.25">
      <c r="F65" s="52"/>
    </row>
    <row r="66" spans="6:6" x14ac:dyDescent="0.25">
      <c r="F66" s="52"/>
    </row>
    <row r="67" spans="6:6" x14ac:dyDescent="0.25">
      <c r="F67" s="52"/>
    </row>
    <row r="68" spans="6:6" x14ac:dyDescent="0.25">
      <c r="F68" s="52"/>
    </row>
    <row r="69" spans="6:6" x14ac:dyDescent="0.25">
      <c r="F69" s="52"/>
    </row>
    <row r="70" spans="6:6" x14ac:dyDescent="0.25">
      <c r="F70" s="52"/>
    </row>
    <row r="71" spans="6:6" x14ac:dyDescent="0.25">
      <c r="F71" s="52"/>
    </row>
    <row r="72" spans="6:6" x14ac:dyDescent="0.25">
      <c r="F72" s="52"/>
    </row>
    <row r="73" spans="6:6" x14ac:dyDescent="0.25">
      <c r="F73" s="52"/>
    </row>
    <row r="74" spans="6:6" x14ac:dyDescent="0.25">
      <c r="F74" s="52"/>
    </row>
    <row r="75" spans="6:6" x14ac:dyDescent="0.25">
      <c r="F75" s="52"/>
    </row>
    <row r="76" spans="6:6" x14ac:dyDescent="0.25">
      <c r="F76" s="52"/>
    </row>
    <row r="77" spans="6:6" x14ac:dyDescent="0.25">
      <c r="F77" s="52"/>
    </row>
    <row r="78" spans="6:6" x14ac:dyDescent="0.25">
      <c r="F78" s="52"/>
    </row>
    <row r="79" spans="6:6" x14ac:dyDescent="0.25">
      <c r="F79" s="52"/>
    </row>
    <row r="80" spans="6:6" x14ac:dyDescent="0.25">
      <c r="F80" s="52"/>
    </row>
    <row r="81" spans="6:6" x14ac:dyDescent="0.25">
      <c r="F81" s="52"/>
    </row>
    <row r="82" spans="6:6" x14ac:dyDescent="0.25">
      <c r="F82" s="52"/>
    </row>
    <row r="83" spans="6:6" x14ac:dyDescent="0.25">
      <c r="F83" s="52"/>
    </row>
    <row r="84" spans="6:6" x14ac:dyDescent="0.25">
      <c r="F84" s="52"/>
    </row>
    <row r="85" spans="6:6" x14ac:dyDescent="0.25">
      <c r="F85" s="52"/>
    </row>
    <row r="86" spans="6:6" x14ac:dyDescent="0.25">
      <c r="F86" s="52"/>
    </row>
    <row r="87" spans="6:6" x14ac:dyDescent="0.25">
      <c r="F87" s="52"/>
    </row>
    <row r="88" spans="6:6" x14ac:dyDescent="0.25">
      <c r="F88" s="52"/>
    </row>
    <row r="89" spans="6:6" x14ac:dyDescent="0.25">
      <c r="F89" s="52"/>
    </row>
    <row r="90" spans="6:6" x14ac:dyDescent="0.25">
      <c r="F90" s="52"/>
    </row>
    <row r="91" spans="6:6" x14ac:dyDescent="0.25">
      <c r="F91" s="52"/>
    </row>
    <row r="92" spans="6:6" x14ac:dyDescent="0.25">
      <c r="F92" s="52"/>
    </row>
    <row r="93" spans="6:6" x14ac:dyDescent="0.25">
      <c r="F93" s="52"/>
    </row>
    <row r="94" spans="6:6" x14ac:dyDescent="0.25">
      <c r="F94" s="52"/>
    </row>
    <row r="95" spans="6:6" x14ac:dyDescent="0.25">
      <c r="F95" s="52"/>
    </row>
    <row r="96" spans="6:6" x14ac:dyDescent="0.25">
      <c r="F96" s="52"/>
    </row>
    <row r="97" spans="6:6" x14ac:dyDescent="0.25">
      <c r="F97" s="52"/>
    </row>
    <row r="98" spans="6:6" x14ac:dyDescent="0.25">
      <c r="F98" s="52"/>
    </row>
    <row r="99" spans="6:6" x14ac:dyDescent="0.25">
      <c r="F99" s="52"/>
    </row>
    <row r="100" spans="6:6" x14ac:dyDescent="0.25">
      <c r="F100" s="52"/>
    </row>
    <row r="101" spans="6:6" x14ac:dyDescent="0.25">
      <c r="F101" s="52"/>
    </row>
    <row r="102" spans="6:6" x14ac:dyDescent="0.25">
      <c r="F102" s="52"/>
    </row>
    <row r="103" spans="6:6" x14ac:dyDescent="0.25">
      <c r="F103" s="52"/>
    </row>
    <row r="104" spans="6:6" x14ac:dyDescent="0.25">
      <c r="F104" s="52"/>
    </row>
    <row r="105" spans="6:6" x14ac:dyDescent="0.25">
      <c r="F105" s="52"/>
    </row>
    <row r="106" spans="6:6" x14ac:dyDescent="0.25">
      <c r="F106" s="52"/>
    </row>
    <row r="107" spans="6:6" x14ac:dyDescent="0.25">
      <c r="F107" s="52"/>
    </row>
    <row r="108" spans="6:6" x14ac:dyDescent="0.25">
      <c r="F108" s="52"/>
    </row>
    <row r="109" spans="6:6" x14ac:dyDescent="0.25">
      <c r="F109" s="52"/>
    </row>
    <row r="110" spans="6:6" x14ac:dyDescent="0.25">
      <c r="F110" s="52"/>
    </row>
    <row r="111" spans="6:6" x14ac:dyDescent="0.25">
      <c r="F111" s="52"/>
    </row>
    <row r="112" spans="6:6" x14ac:dyDescent="0.25">
      <c r="F112" s="52"/>
    </row>
    <row r="113" spans="6:6" x14ac:dyDescent="0.25">
      <c r="F113" s="52"/>
    </row>
    <row r="114" spans="6:6" x14ac:dyDescent="0.25">
      <c r="F114" s="52"/>
    </row>
    <row r="115" spans="6:6" x14ac:dyDescent="0.25">
      <c r="F115" s="52"/>
    </row>
    <row r="116" spans="6:6" x14ac:dyDescent="0.25">
      <c r="F116" s="52"/>
    </row>
    <row r="117" spans="6:6" x14ac:dyDescent="0.25">
      <c r="F117" s="52"/>
    </row>
    <row r="118" spans="6:6" x14ac:dyDescent="0.25">
      <c r="F118" s="52"/>
    </row>
    <row r="119" spans="6:6" x14ac:dyDescent="0.25">
      <c r="F119" s="52"/>
    </row>
    <row r="120" spans="6:6" x14ac:dyDescent="0.25">
      <c r="F120" s="52"/>
    </row>
    <row r="121" spans="6:6" x14ac:dyDescent="0.25">
      <c r="F121" s="52"/>
    </row>
    <row r="122" spans="6:6" x14ac:dyDescent="0.25">
      <c r="F122" s="52"/>
    </row>
    <row r="123" spans="6:6" x14ac:dyDescent="0.25">
      <c r="F123" s="52"/>
    </row>
    <row r="124" spans="6:6" x14ac:dyDescent="0.25">
      <c r="F124" s="52"/>
    </row>
    <row r="125" spans="6:6" x14ac:dyDescent="0.25">
      <c r="F125" s="52"/>
    </row>
    <row r="126" spans="6:6" x14ac:dyDescent="0.25">
      <c r="F126" s="52"/>
    </row>
    <row r="127" spans="6:6" x14ac:dyDescent="0.25">
      <c r="F127" s="52"/>
    </row>
    <row r="128" spans="6:6" x14ac:dyDescent="0.25">
      <c r="F128" s="52"/>
    </row>
    <row r="129" spans="6:6" x14ac:dyDescent="0.25">
      <c r="F129" s="52"/>
    </row>
  </sheetData>
  <mergeCells count="4">
    <mergeCell ref="A1:F1"/>
    <mergeCell ref="A20:F20"/>
    <mergeCell ref="A4:F4"/>
    <mergeCell ref="A39:F39"/>
  </mergeCells>
  <phoneticPr fontId="3" type="noConversion"/>
  <printOptions horizontalCentered="1"/>
  <pageMargins left="0.78740157480314965" right="0.78740157480314965" top="0" bottom="0" header="0.51181102362204722" footer="0.51181102362204722"/>
  <pageSetup paperSize="9" orientation="portrait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7">
    <pageSetUpPr fitToPage="1"/>
  </sheetPr>
  <dimension ref="A1:J23"/>
  <sheetViews>
    <sheetView workbookViewId="0">
      <selection sqref="A1:J23"/>
    </sheetView>
  </sheetViews>
  <sheetFormatPr defaultRowHeight="12.6" x14ac:dyDescent="0.25"/>
  <cols>
    <col min="1" max="1" width="3.44140625" customWidth="1"/>
    <col min="6" max="6" width="11.88671875" bestFit="1" customWidth="1"/>
    <col min="7" max="7" width="11.88671875" customWidth="1"/>
    <col min="9" max="9" width="6.88671875" style="83" customWidth="1"/>
    <col min="10" max="10" width="14.109375" style="87" bestFit="1" customWidth="1"/>
  </cols>
  <sheetData>
    <row r="1" spans="1:10" ht="30" customHeight="1" x14ac:dyDescent="0.25">
      <c r="A1" s="2598" t="s">
        <v>562</v>
      </c>
      <c r="B1" s="2599"/>
      <c r="C1" s="2599"/>
      <c r="D1" s="2599"/>
      <c r="E1" s="2599"/>
      <c r="F1" s="2599"/>
      <c r="G1" s="2599"/>
      <c r="H1" s="2599"/>
      <c r="I1" s="2599"/>
      <c r="J1" s="2600"/>
    </row>
    <row r="2" spans="1:10" ht="3.75" customHeight="1" x14ac:dyDescent="0.25">
      <c r="A2" s="145"/>
      <c r="J2" s="181"/>
    </row>
    <row r="3" spans="1:10" ht="15.75" customHeight="1" x14ac:dyDescent="0.25">
      <c r="A3" s="145"/>
      <c r="J3" s="181"/>
    </row>
    <row r="4" spans="1:10" ht="0.75" customHeight="1" thickBot="1" x14ac:dyDescent="0.3">
      <c r="A4" s="145"/>
      <c r="J4" s="181"/>
    </row>
    <row r="5" spans="1:10" x14ac:dyDescent="0.25">
      <c r="A5" s="182" t="s">
        <v>167</v>
      </c>
      <c r="B5" s="183"/>
      <c r="C5" s="183"/>
      <c r="D5" s="183"/>
      <c r="E5" s="183"/>
      <c r="F5" s="241"/>
      <c r="G5" s="241"/>
      <c r="H5" s="241"/>
      <c r="I5" s="241"/>
      <c r="J5" s="242"/>
    </row>
    <row r="6" spans="1:10" ht="13.2" thickBot="1" x14ac:dyDescent="0.3">
      <c r="A6" s="184"/>
      <c r="B6" s="185"/>
      <c r="C6" s="185"/>
      <c r="D6" s="185"/>
      <c r="E6" s="185"/>
      <c r="F6" s="177"/>
      <c r="G6" s="177"/>
      <c r="H6" s="177"/>
      <c r="I6" s="177"/>
      <c r="J6" s="243"/>
    </row>
    <row r="7" spans="1:10" ht="13.2" thickBot="1" x14ac:dyDescent="0.3">
      <c r="A7" s="187"/>
      <c r="B7" s="52"/>
      <c r="C7" s="52"/>
      <c r="D7" s="52"/>
      <c r="E7" s="52"/>
      <c r="F7" s="83"/>
      <c r="G7" s="83"/>
      <c r="H7" s="83"/>
      <c r="J7" s="181"/>
    </row>
    <row r="8" spans="1:10" x14ac:dyDescent="0.25">
      <c r="A8" s="182" t="s">
        <v>83</v>
      </c>
      <c r="B8" s="183"/>
      <c r="C8" s="183"/>
      <c r="D8" s="183"/>
      <c r="E8" s="183"/>
      <c r="F8" s="241"/>
      <c r="G8" s="241"/>
      <c r="H8" s="241"/>
      <c r="I8" s="241"/>
      <c r="J8" s="242">
        <f>F10+F11+F13+F14</f>
        <v>24824713</v>
      </c>
    </row>
    <row r="9" spans="1:10" x14ac:dyDescent="0.25">
      <c r="A9" s="187"/>
      <c r="B9" s="507" t="s">
        <v>79</v>
      </c>
      <c r="C9" s="52"/>
      <c r="D9" s="52"/>
      <c r="E9" s="52"/>
      <c r="F9" s="83"/>
      <c r="G9" s="83"/>
      <c r="H9" s="83"/>
      <c r="J9" s="181"/>
    </row>
    <row r="10" spans="1:10" x14ac:dyDescent="0.25">
      <c r="A10" s="187"/>
      <c r="B10" s="52"/>
      <c r="C10" s="52" t="s">
        <v>80</v>
      </c>
      <c r="D10" s="52"/>
      <c r="E10" s="52"/>
      <c r="F10" s="245">
        <v>38071</v>
      </c>
      <c r="G10" s="83"/>
      <c r="H10" s="83"/>
      <c r="J10" s="181"/>
    </row>
    <row r="11" spans="1:10" x14ac:dyDescent="0.25">
      <c r="A11" s="187"/>
      <c r="B11" s="52"/>
      <c r="C11" s="52" t="s">
        <v>81</v>
      </c>
      <c r="D11" s="52"/>
      <c r="E11" s="52"/>
      <c r="F11" s="245">
        <v>0</v>
      </c>
      <c r="G11" s="83"/>
      <c r="H11" s="83"/>
      <c r="J11" s="181"/>
    </row>
    <row r="12" spans="1:10" x14ac:dyDescent="0.25">
      <c r="A12" s="187"/>
      <c r="B12" s="507" t="s">
        <v>82</v>
      </c>
      <c r="C12" s="52"/>
      <c r="D12" s="52"/>
      <c r="E12" s="52"/>
      <c r="F12" s="245"/>
      <c r="G12" s="83"/>
      <c r="H12" s="83"/>
      <c r="J12" s="181"/>
    </row>
    <row r="13" spans="1:10" x14ac:dyDescent="0.25">
      <c r="A13" s="187"/>
      <c r="B13" s="52"/>
      <c r="C13" s="52" t="s">
        <v>80</v>
      </c>
      <c r="D13" s="52"/>
      <c r="E13" s="52"/>
      <c r="F13" s="245">
        <v>856574</v>
      </c>
      <c r="G13" s="83"/>
      <c r="H13" s="83"/>
      <c r="J13" s="181"/>
    </row>
    <row r="14" spans="1:10" ht="13.2" thickBot="1" x14ac:dyDescent="0.3">
      <c r="A14" s="184"/>
      <c r="B14" s="185"/>
      <c r="C14" s="185" t="s">
        <v>81</v>
      </c>
      <c r="D14" s="185"/>
      <c r="E14" s="185"/>
      <c r="F14" s="246">
        <v>23930068</v>
      </c>
      <c r="G14" s="177"/>
      <c r="H14" s="177"/>
      <c r="I14" s="177"/>
      <c r="J14" s="243"/>
    </row>
    <row r="15" spans="1:10" ht="13.2" thickBot="1" x14ac:dyDescent="0.3">
      <c r="A15" s="187"/>
      <c r="B15" s="52"/>
      <c r="C15" s="52"/>
      <c r="D15" s="52"/>
      <c r="E15" s="52"/>
      <c r="F15" s="83"/>
      <c r="G15" s="83"/>
      <c r="H15" s="83"/>
      <c r="J15" s="181"/>
    </row>
    <row r="16" spans="1:10" x14ac:dyDescent="0.25">
      <c r="A16" s="182" t="s">
        <v>168</v>
      </c>
      <c r="B16" s="183"/>
      <c r="C16" s="183"/>
      <c r="D16" s="183"/>
      <c r="E16" s="183"/>
      <c r="F16" s="241"/>
      <c r="G16" s="241"/>
      <c r="H16" s="241"/>
      <c r="I16" s="241"/>
      <c r="J16" s="242">
        <f>I17</f>
        <v>0</v>
      </c>
    </row>
    <row r="17" spans="1:10" ht="13.2" thickBot="1" x14ac:dyDescent="0.3">
      <c r="A17" s="184"/>
      <c r="B17" s="185"/>
      <c r="C17" s="185"/>
      <c r="D17" s="185"/>
      <c r="E17" s="185"/>
      <c r="F17" s="177"/>
      <c r="G17" s="177"/>
      <c r="H17" s="177"/>
      <c r="I17" s="247"/>
      <c r="J17" s="243"/>
    </row>
    <row r="18" spans="1:10" ht="0.75" customHeight="1" x14ac:dyDescent="0.25">
      <c r="A18" s="187"/>
      <c r="B18" s="52"/>
      <c r="C18" s="52"/>
      <c r="D18" s="52"/>
      <c r="E18" s="52"/>
      <c r="F18" s="83"/>
      <c r="G18" s="83"/>
      <c r="H18" s="83"/>
      <c r="J18" s="181"/>
    </row>
    <row r="19" spans="1:10" ht="0.75" customHeight="1" thickBot="1" x14ac:dyDescent="0.3">
      <c r="A19" s="187"/>
      <c r="B19" s="52"/>
      <c r="C19" s="52"/>
      <c r="D19" s="52"/>
      <c r="E19" s="52"/>
      <c r="F19" s="83"/>
      <c r="G19" s="83"/>
      <c r="H19" s="83"/>
      <c r="J19" s="181"/>
    </row>
    <row r="20" spans="1:10" x14ac:dyDescent="0.25">
      <c r="A20" s="182" t="s">
        <v>169</v>
      </c>
      <c r="B20" s="189"/>
      <c r="C20" s="189"/>
      <c r="D20" s="189"/>
      <c r="E20" s="189"/>
      <c r="F20" s="244"/>
      <c r="G20" s="244"/>
      <c r="H20" s="244"/>
      <c r="I20" s="244"/>
      <c r="J20" s="242">
        <v>0</v>
      </c>
    </row>
    <row r="21" spans="1:10" ht="13.2" thickBot="1" x14ac:dyDescent="0.3">
      <c r="A21" s="184"/>
      <c r="B21" s="185"/>
      <c r="C21" s="267"/>
      <c r="D21" s="185"/>
      <c r="E21" s="185"/>
      <c r="F21" s="185"/>
      <c r="G21" s="185"/>
      <c r="H21" s="247"/>
      <c r="I21" s="185"/>
      <c r="J21" s="186"/>
    </row>
    <row r="22" spans="1:10" ht="0.75" customHeight="1" thickBot="1" x14ac:dyDescent="0.3">
      <c r="A22" s="187"/>
      <c r="B22" s="52"/>
      <c r="C22" s="52"/>
      <c r="D22" s="52"/>
      <c r="E22" s="52"/>
      <c r="F22" s="52"/>
      <c r="G22" s="52"/>
      <c r="H22" s="52"/>
      <c r="I22" s="52"/>
      <c r="J22" s="188"/>
    </row>
    <row r="23" spans="1:10" ht="26.25" customHeight="1" thickBot="1" x14ac:dyDescent="0.3">
      <c r="A23" s="2595" t="s">
        <v>89</v>
      </c>
      <c r="B23" s="2596"/>
      <c r="C23" s="2596"/>
      <c r="D23" s="2596"/>
      <c r="E23" s="2596"/>
      <c r="F23" s="2596"/>
      <c r="G23" s="2596"/>
      <c r="H23" s="2596"/>
      <c r="I23" s="2596"/>
      <c r="J23" s="2597"/>
    </row>
  </sheetData>
  <mergeCells count="2">
    <mergeCell ref="A23:J23"/>
    <mergeCell ref="A1:J1"/>
  </mergeCells>
  <phoneticPr fontId="3" type="noConversion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workbookViewId="0">
      <selection sqref="A1:J10"/>
    </sheetView>
  </sheetViews>
  <sheetFormatPr defaultRowHeight="12.6" x14ac:dyDescent="0.25"/>
  <cols>
    <col min="1" max="1" width="33.44140625" customWidth="1"/>
    <col min="2" max="8" width="11.6640625" customWidth="1"/>
    <col min="9" max="9" width="7.88671875" customWidth="1"/>
  </cols>
  <sheetData>
    <row r="1" spans="1:21" s="56" customFormat="1" ht="27.75" customHeight="1" x14ac:dyDescent="0.25">
      <c r="A1" s="2497" t="s">
        <v>563</v>
      </c>
      <c r="B1" s="2498"/>
      <c r="C1" s="2498"/>
      <c r="D1" s="2498"/>
      <c r="E1" s="2498"/>
      <c r="F1" s="2498"/>
      <c r="G1" s="2498"/>
      <c r="H1" s="2498"/>
      <c r="I1" s="2498"/>
      <c r="J1" s="2498"/>
    </row>
    <row r="2" spans="1:21" s="56" customFormat="1" ht="0.75" customHeight="1" x14ac:dyDescent="0.25">
      <c r="A2" s="53" t="s">
        <v>152</v>
      </c>
    </row>
    <row r="3" spans="1:21" ht="0.75" customHeight="1" x14ac:dyDescent="0.35">
      <c r="A3" s="78"/>
      <c r="B3" s="78"/>
      <c r="C3" s="78"/>
      <c r="D3" s="78"/>
      <c r="E3" s="78"/>
      <c r="F3" s="78"/>
      <c r="G3" s="78"/>
      <c r="H3" s="78"/>
      <c r="I3" s="78"/>
      <c r="J3" s="78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</row>
    <row r="4" spans="1:21" ht="16.2" thickBot="1" x14ac:dyDescent="0.4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</row>
    <row r="5" spans="1:21" ht="16.8" thickBot="1" x14ac:dyDescent="0.4">
      <c r="A5" s="260" t="s">
        <v>171</v>
      </c>
      <c r="B5" s="261"/>
      <c r="C5" s="261"/>
      <c r="D5" s="261"/>
      <c r="E5" s="260"/>
      <c r="F5" s="275"/>
      <c r="G5" s="248"/>
      <c r="H5" s="248"/>
      <c r="I5" s="248"/>
      <c r="J5" s="248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</row>
    <row r="6" spans="1:21" ht="16.5" customHeight="1" thickBot="1" x14ac:dyDescent="0.4">
      <c r="A6" s="262"/>
      <c r="B6" s="262"/>
      <c r="C6" s="262"/>
      <c r="D6" s="262"/>
      <c r="E6" s="262"/>
      <c r="F6" s="274"/>
      <c r="G6" s="248"/>
      <c r="H6" s="248"/>
      <c r="I6" s="248"/>
      <c r="J6" s="248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1" ht="0.75" customHeight="1" x14ac:dyDescent="0.35">
      <c r="A7" s="248"/>
      <c r="B7" s="248"/>
      <c r="C7" s="248"/>
      <c r="D7" s="248"/>
      <c r="E7" s="248"/>
      <c r="F7" s="248"/>
      <c r="G7" s="248"/>
      <c r="H7" s="248"/>
      <c r="I7" s="248"/>
      <c r="J7" s="248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</row>
    <row r="8" spans="1:21" s="77" customFormat="1" ht="8.25" customHeight="1" x14ac:dyDescent="0.3">
      <c r="A8" s="249"/>
      <c r="B8" s="249"/>
      <c r="C8" s="249"/>
      <c r="D8" s="249"/>
      <c r="E8" s="249"/>
      <c r="F8" s="249"/>
      <c r="G8" s="250"/>
      <c r="H8" s="250"/>
      <c r="I8" s="250"/>
      <c r="J8" s="250"/>
    </row>
    <row r="9" spans="1:21" ht="15.6" x14ac:dyDescent="0.35">
      <c r="A9" s="88"/>
      <c r="B9" s="88"/>
      <c r="C9" s="88"/>
      <c r="D9" s="88"/>
      <c r="E9" s="88"/>
      <c r="F9" s="88"/>
      <c r="G9" s="88"/>
      <c r="H9" s="88"/>
      <c r="I9" s="88"/>
      <c r="J9" s="88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</row>
    <row r="10" spans="1:21" ht="34.5" customHeight="1" x14ac:dyDescent="0.35">
      <c r="A10" s="2601" t="s">
        <v>635</v>
      </c>
      <c r="B10" s="2602"/>
      <c r="C10" s="2602"/>
      <c r="D10" s="2602"/>
      <c r="E10" s="2602"/>
      <c r="F10" s="2602"/>
      <c r="G10" s="2602"/>
      <c r="H10" s="2602"/>
      <c r="I10" s="2602"/>
      <c r="J10" s="88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</row>
    <row r="11" spans="1:21" ht="15.6" x14ac:dyDescent="0.35">
      <c r="A11" s="88"/>
      <c r="B11" s="88"/>
      <c r="C11" s="88"/>
      <c r="D11" s="88"/>
      <c r="E11" s="88"/>
      <c r="F11" s="88"/>
      <c r="G11" s="88"/>
      <c r="H11" s="88"/>
      <c r="I11" s="88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</row>
    <row r="12" spans="1:21" ht="15.6" x14ac:dyDescent="0.35">
      <c r="A12" s="88"/>
      <c r="B12" s="88"/>
      <c r="C12" s="88"/>
      <c r="D12" s="88"/>
      <c r="E12" s="88"/>
      <c r="F12" s="88"/>
      <c r="G12" s="88"/>
      <c r="H12" s="88"/>
      <c r="I12" s="88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</row>
    <row r="13" spans="1:21" ht="15.6" x14ac:dyDescent="0.35">
      <c r="A13" s="88"/>
      <c r="B13" s="88"/>
      <c r="C13" s="88"/>
      <c r="D13" s="88"/>
      <c r="E13" s="88"/>
      <c r="F13" s="88"/>
      <c r="G13" s="88"/>
      <c r="H13" s="88"/>
      <c r="I13" s="88"/>
      <c r="J13" s="79"/>
      <c r="K13" s="79"/>
      <c r="L13" s="79"/>
      <c r="M13" s="79"/>
      <c r="N13" s="79"/>
      <c r="O13" s="79"/>
      <c r="P13" s="79"/>
      <c r="Q13" s="79"/>
      <c r="R13" s="79"/>
      <c r="S13" s="79"/>
      <c r="T13" s="79"/>
      <c r="U13" s="79"/>
    </row>
    <row r="14" spans="1:21" ht="15.6" x14ac:dyDescent="0.35">
      <c r="A14" s="88"/>
      <c r="B14" s="88"/>
      <c r="C14" s="88"/>
      <c r="D14" s="88"/>
      <c r="E14" s="88"/>
      <c r="F14" s="88"/>
      <c r="G14" s="88"/>
      <c r="H14" s="88"/>
      <c r="I14" s="88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</row>
    <row r="15" spans="1:21" ht="15.6" x14ac:dyDescent="0.35">
      <c r="A15" s="88"/>
      <c r="B15" s="88"/>
      <c r="C15" s="88"/>
      <c r="D15" s="88"/>
      <c r="E15" s="88"/>
      <c r="F15" s="88"/>
      <c r="G15" s="88"/>
      <c r="H15" s="88"/>
      <c r="I15" s="88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</row>
    <row r="16" spans="1:21" ht="15.6" x14ac:dyDescent="0.35">
      <c r="A16" s="88"/>
      <c r="B16" s="88"/>
      <c r="C16" s="88"/>
      <c r="D16" s="88"/>
      <c r="E16" s="88"/>
      <c r="F16" s="88"/>
      <c r="G16" s="88"/>
      <c r="H16" s="88"/>
      <c r="I16" s="88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</row>
    <row r="17" spans="1:21" ht="15.6" x14ac:dyDescent="0.35">
      <c r="A17" s="88"/>
      <c r="B17" s="88"/>
      <c r="C17" s="88"/>
      <c r="D17" s="88"/>
      <c r="E17" s="88"/>
      <c r="F17" s="88"/>
      <c r="G17" s="88"/>
      <c r="H17" s="88"/>
      <c r="I17" s="88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</row>
    <row r="18" spans="1:21" ht="15.6" x14ac:dyDescent="0.35">
      <c r="A18" s="88"/>
      <c r="B18" s="88"/>
      <c r="C18" s="88"/>
      <c r="D18" s="88"/>
      <c r="E18" s="88"/>
      <c r="F18" s="88"/>
      <c r="G18" s="88"/>
      <c r="H18" s="88"/>
      <c r="I18" s="88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 ht="15.6" x14ac:dyDescent="0.35">
      <c r="A19" s="88"/>
      <c r="B19" s="88"/>
      <c r="C19" s="88"/>
      <c r="D19" s="88"/>
      <c r="E19" s="88"/>
      <c r="F19" s="88"/>
      <c r="G19" s="88"/>
      <c r="H19" s="88"/>
      <c r="I19" s="88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</row>
    <row r="20" spans="1:21" ht="15.6" x14ac:dyDescent="0.35">
      <c r="A20" s="228"/>
      <c r="B20" s="88"/>
      <c r="C20" s="88"/>
      <c r="D20" s="88"/>
      <c r="E20" s="88"/>
      <c r="F20" s="228"/>
      <c r="G20" s="228"/>
      <c r="H20" s="228"/>
      <c r="I20" s="228"/>
    </row>
    <row r="21" spans="1:21" ht="15.6" x14ac:dyDescent="0.35">
      <c r="A21" s="228"/>
      <c r="B21" s="88"/>
      <c r="C21" s="88"/>
      <c r="D21" s="88"/>
      <c r="E21" s="88"/>
      <c r="F21" s="228"/>
      <c r="G21" s="228"/>
      <c r="H21" s="228"/>
      <c r="I21" s="228"/>
    </row>
    <row r="22" spans="1:21" ht="15.6" x14ac:dyDescent="0.35">
      <c r="A22" s="228"/>
      <c r="B22" s="88"/>
      <c r="C22" s="88"/>
      <c r="D22" s="88"/>
      <c r="E22" s="88"/>
      <c r="F22" s="228"/>
      <c r="G22" s="228"/>
      <c r="H22" s="228"/>
      <c r="I22" s="228"/>
    </row>
    <row r="23" spans="1:21" ht="15.6" x14ac:dyDescent="0.35">
      <c r="A23" s="228"/>
      <c r="B23" s="88"/>
      <c r="C23" s="88"/>
      <c r="D23" s="88"/>
      <c r="E23" s="88"/>
      <c r="F23" s="228"/>
      <c r="G23" s="228"/>
      <c r="H23" s="228"/>
      <c r="I23" s="228"/>
    </row>
    <row r="24" spans="1:21" ht="15.6" x14ac:dyDescent="0.35">
      <c r="A24" s="228"/>
      <c r="B24" s="88"/>
      <c r="C24" s="88"/>
      <c r="D24" s="88"/>
      <c r="E24" s="88"/>
      <c r="F24" s="228"/>
      <c r="G24" s="228"/>
      <c r="H24" s="228"/>
      <c r="I24" s="228"/>
    </row>
    <row r="25" spans="1:21" ht="15.6" x14ac:dyDescent="0.35">
      <c r="A25" s="228"/>
      <c r="B25" s="88"/>
      <c r="C25" s="88"/>
      <c r="D25" s="88"/>
      <c r="E25" s="88"/>
      <c r="F25" s="228"/>
      <c r="G25" s="228"/>
      <c r="H25" s="228"/>
      <c r="I25" s="228"/>
    </row>
    <row r="26" spans="1:21" ht="15.6" x14ac:dyDescent="0.35">
      <c r="A26" s="228"/>
      <c r="B26" s="88"/>
      <c r="C26" s="88"/>
      <c r="D26" s="88"/>
      <c r="E26" s="88"/>
      <c r="F26" s="228"/>
      <c r="G26" s="228"/>
      <c r="H26" s="228"/>
      <c r="I26" s="228"/>
    </row>
    <row r="27" spans="1:21" ht="15.6" x14ac:dyDescent="0.35">
      <c r="A27" s="228"/>
      <c r="B27" s="88"/>
      <c r="C27" s="88"/>
      <c r="D27" s="88"/>
      <c r="E27" s="88"/>
      <c r="F27" s="228"/>
      <c r="G27" s="228"/>
      <c r="H27" s="228"/>
      <c r="I27" s="228"/>
    </row>
    <row r="28" spans="1:21" ht="15.6" x14ac:dyDescent="0.35">
      <c r="A28" s="228"/>
      <c r="B28" s="88"/>
      <c r="C28" s="88"/>
      <c r="D28" s="88"/>
      <c r="E28" s="88"/>
      <c r="F28" s="228"/>
      <c r="G28" s="228"/>
      <c r="H28" s="228"/>
      <c r="I28" s="228"/>
    </row>
    <row r="29" spans="1:21" ht="15.6" x14ac:dyDescent="0.35">
      <c r="A29" s="228"/>
      <c r="B29" s="88"/>
      <c r="C29" s="228"/>
      <c r="D29" s="228"/>
      <c r="E29" s="228"/>
      <c r="F29" s="228"/>
      <c r="G29" s="228"/>
      <c r="H29" s="228"/>
      <c r="I29" s="228"/>
    </row>
    <row r="30" spans="1:21" x14ac:dyDescent="0.25">
      <c r="A30" s="228"/>
      <c r="B30" s="228"/>
      <c r="C30" s="228"/>
      <c r="D30" s="228"/>
      <c r="E30" s="228"/>
      <c r="F30" s="228"/>
      <c r="G30" s="228"/>
      <c r="H30" s="228"/>
      <c r="I30" s="228"/>
    </row>
    <row r="31" spans="1:21" x14ac:dyDescent="0.25">
      <c r="A31" s="228"/>
      <c r="B31" s="228"/>
      <c r="C31" s="228"/>
      <c r="D31" s="228"/>
      <c r="E31" s="228"/>
      <c r="F31" s="228"/>
      <c r="G31" s="228"/>
      <c r="H31" s="228"/>
      <c r="I31" s="228"/>
    </row>
    <row r="32" spans="1:21" x14ac:dyDescent="0.25">
      <c r="A32" s="228"/>
      <c r="B32" s="228"/>
      <c r="C32" s="228"/>
      <c r="D32" s="228"/>
      <c r="E32" s="228"/>
      <c r="F32" s="228"/>
      <c r="G32" s="228"/>
      <c r="H32" s="228"/>
      <c r="I32" s="228"/>
    </row>
    <row r="33" spans="1:9" x14ac:dyDescent="0.25">
      <c r="A33" s="228"/>
      <c r="B33" s="228"/>
      <c r="C33" s="228"/>
      <c r="D33" s="228"/>
      <c r="E33" s="228"/>
      <c r="F33" s="228"/>
      <c r="G33" s="228"/>
      <c r="H33" s="228"/>
      <c r="I33" s="228"/>
    </row>
    <row r="34" spans="1:9" x14ac:dyDescent="0.25">
      <c r="A34" s="228"/>
      <c r="B34" s="228"/>
      <c r="C34" s="228"/>
      <c r="D34" s="228"/>
      <c r="E34" s="228"/>
      <c r="F34" s="228"/>
      <c r="G34" s="228"/>
      <c r="H34" s="228"/>
      <c r="I34" s="228"/>
    </row>
    <row r="35" spans="1:9" x14ac:dyDescent="0.25">
      <c r="A35" s="228"/>
      <c r="B35" s="228"/>
      <c r="C35" s="228"/>
      <c r="D35" s="228"/>
      <c r="E35" s="228"/>
      <c r="F35" s="228"/>
      <c r="G35" s="228"/>
      <c r="H35" s="228"/>
      <c r="I35" s="228"/>
    </row>
    <row r="36" spans="1:9" x14ac:dyDescent="0.25">
      <c r="A36" s="228"/>
      <c r="B36" s="228"/>
      <c r="C36" s="228"/>
      <c r="D36" s="228"/>
      <c r="E36" s="228"/>
      <c r="F36" s="228"/>
      <c r="G36" s="228"/>
      <c r="H36" s="228"/>
      <c r="I36" s="228"/>
    </row>
    <row r="37" spans="1:9" x14ac:dyDescent="0.25">
      <c r="A37" s="228"/>
      <c r="B37" s="228"/>
      <c r="C37" s="228"/>
      <c r="D37" s="228"/>
      <c r="E37" s="228"/>
      <c r="F37" s="228"/>
      <c r="G37" s="228"/>
      <c r="H37" s="228"/>
      <c r="I37" s="228"/>
    </row>
    <row r="38" spans="1:9" x14ac:dyDescent="0.25">
      <c r="A38" s="228"/>
      <c r="B38" s="228"/>
      <c r="C38" s="228"/>
      <c r="D38" s="228"/>
      <c r="E38" s="228"/>
      <c r="F38" s="228"/>
      <c r="G38" s="228"/>
      <c r="H38" s="228"/>
      <c r="I38" s="228"/>
    </row>
    <row r="39" spans="1:9" x14ac:dyDescent="0.25">
      <c r="A39" s="228"/>
      <c r="B39" s="228"/>
      <c r="C39" s="228"/>
      <c r="D39" s="228"/>
      <c r="E39" s="228"/>
      <c r="F39" s="228"/>
      <c r="G39" s="228"/>
      <c r="H39" s="228"/>
      <c r="I39" s="228"/>
    </row>
    <row r="40" spans="1:9" x14ac:dyDescent="0.25">
      <c r="A40" s="228"/>
      <c r="B40" s="228"/>
      <c r="C40" s="228"/>
      <c r="D40" s="228"/>
      <c r="E40" s="228"/>
      <c r="F40" s="228"/>
      <c r="G40" s="228"/>
      <c r="H40" s="228"/>
      <c r="I40" s="228"/>
    </row>
    <row r="41" spans="1:9" x14ac:dyDescent="0.25">
      <c r="A41" s="228"/>
      <c r="B41" s="228"/>
      <c r="C41" s="228"/>
      <c r="D41" s="228"/>
      <c r="E41" s="228"/>
      <c r="F41" s="228"/>
      <c r="G41" s="228"/>
      <c r="H41" s="228"/>
      <c r="I41" s="228"/>
    </row>
    <row r="42" spans="1:9" x14ac:dyDescent="0.25">
      <c r="A42" s="228"/>
      <c r="B42" s="228"/>
      <c r="C42" s="228"/>
      <c r="D42" s="228"/>
      <c r="E42" s="228"/>
      <c r="F42" s="228"/>
      <c r="G42" s="228"/>
      <c r="H42" s="228"/>
      <c r="I42" s="228"/>
    </row>
    <row r="43" spans="1:9" x14ac:dyDescent="0.25">
      <c r="A43" s="228"/>
      <c r="B43" s="228"/>
      <c r="C43" s="228"/>
      <c r="D43" s="228"/>
      <c r="E43" s="228"/>
      <c r="F43" s="228"/>
      <c r="G43" s="228"/>
      <c r="H43" s="228"/>
      <c r="I43" s="228"/>
    </row>
    <row r="44" spans="1:9" x14ac:dyDescent="0.25">
      <c r="A44" s="228"/>
      <c r="B44" s="228"/>
      <c r="C44" s="228"/>
      <c r="D44" s="228"/>
      <c r="E44" s="228"/>
      <c r="F44" s="228"/>
      <c r="G44" s="228"/>
      <c r="H44" s="228"/>
      <c r="I44" s="228"/>
    </row>
    <row r="45" spans="1:9" x14ac:dyDescent="0.25">
      <c r="A45" s="228"/>
      <c r="B45" s="228"/>
      <c r="C45" s="228"/>
      <c r="D45" s="228"/>
      <c r="E45" s="228"/>
      <c r="F45" s="228"/>
      <c r="G45" s="228"/>
      <c r="H45" s="228"/>
      <c r="I45" s="228"/>
    </row>
    <row r="46" spans="1:9" x14ac:dyDescent="0.25">
      <c r="A46" s="228"/>
      <c r="B46" s="228"/>
      <c r="C46" s="228"/>
      <c r="D46" s="228"/>
      <c r="E46" s="228"/>
      <c r="F46" s="228"/>
      <c r="G46" s="228"/>
      <c r="H46" s="228"/>
      <c r="I46" s="228"/>
    </row>
    <row r="47" spans="1:9" x14ac:dyDescent="0.25">
      <c r="A47" s="228"/>
      <c r="B47" s="228"/>
      <c r="C47" s="228"/>
      <c r="D47" s="228"/>
      <c r="E47" s="228"/>
      <c r="F47" s="228"/>
      <c r="G47" s="228"/>
      <c r="H47" s="228"/>
      <c r="I47" s="228"/>
    </row>
    <row r="48" spans="1:9" x14ac:dyDescent="0.25">
      <c r="A48" s="228"/>
      <c r="B48" s="228"/>
      <c r="C48" s="228"/>
      <c r="D48" s="228"/>
      <c r="E48" s="228"/>
      <c r="F48" s="228"/>
      <c r="G48" s="228"/>
      <c r="H48" s="228"/>
      <c r="I48" s="228"/>
    </row>
    <row r="49" spans="1:9" x14ac:dyDescent="0.25">
      <c r="A49" s="228"/>
      <c r="B49" s="228"/>
      <c r="C49" s="228"/>
      <c r="D49" s="228"/>
      <c r="E49" s="228"/>
      <c r="F49" s="228"/>
      <c r="G49" s="228"/>
      <c r="H49" s="228"/>
      <c r="I49" s="228"/>
    </row>
    <row r="50" spans="1:9" x14ac:dyDescent="0.25">
      <c r="A50" s="228"/>
      <c r="B50" s="228"/>
      <c r="C50" s="228"/>
      <c r="D50" s="228"/>
      <c r="E50" s="228"/>
      <c r="F50" s="228"/>
      <c r="G50" s="228"/>
      <c r="H50" s="228"/>
      <c r="I50" s="228"/>
    </row>
    <row r="51" spans="1:9" x14ac:dyDescent="0.25">
      <c r="A51" s="228"/>
      <c r="B51" s="228"/>
      <c r="C51" s="228"/>
      <c r="D51" s="228"/>
      <c r="E51" s="228"/>
      <c r="F51" s="228"/>
      <c r="G51" s="228"/>
      <c r="H51" s="228"/>
      <c r="I51" s="228"/>
    </row>
    <row r="52" spans="1:9" x14ac:dyDescent="0.25">
      <c r="A52" s="228"/>
      <c r="B52" s="228"/>
      <c r="C52" s="228"/>
      <c r="D52" s="228"/>
      <c r="E52" s="228"/>
      <c r="F52" s="228"/>
      <c r="G52" s="228"/>
      <c r="H52" s="228"/>
      <c r="I52" s="228"/>
    </row>
    <row r="53" spans="1:9" x14ac:dyDescent="0.25">
      <c r="A53" s="228"/>
      <c r="B53" s="228"/>
      <c r="C53" s="228"/>
      <c r="D53" s="228"/>
      <c r="E53" s="228"/>
      <c r="F53" s="228"/>
      <c r="G53" s="228"/>
      <c r="H53" s="228"/>
      <c r="I53" s="228"/>
    </row>
    <row r="54" spans="1:9" x14ac:dyDescent="0.25">
      <c r="A54" s="228"/>
      <c r="B54" s="228"/>
      <c r="C54" s="228"/>
      <c r="D54" s="228"/>
      <c r="E54" s="228"/>
      <c r="F54" s="228"/>
      <c r="G54" s="228"/>
      <c r="H54" s="228"/>
      <c r="I54" s="228"/>
    </row>
    <row r="55" spans="1:9" x14ac:dyDescent="0.25">
      <c r="A55" s="228"/>
      <c r="B55" s="228"/>
      <c r="C55" s="228"/>
      <c r="D55" s="228"/>
      <c r="E55" s="228"/>
      <c r="F55" s="228"/>
      <c r="G55" s="228"/>
      <c r="H55" s="228"/>
      <c r="I55" s="228"/>
    </row>
    <row r="56" spans="1:9" x14ac:dyDescent="0.25">
      <c r="A56" s="228"/>
      <c r="B56" s="228"/>
      <c r="C56" s="228"/>
      <c r="D56" s="228"/>
      <c r="E56" s="228"/>
      <c r="F56" s="228"/>
      <c r="G56" s="228"/>
      <c r="H56" s="228"/>
      <c r="I56" s="228"/>
    </row>
    <row r="57" spans="1:9" x14ac:dyDescent="0.25">
      <c r="A57" s="228"/>
      <c r="B57" s="228"/>
      <c r="C57" s="228"/>
      <c r="D57" s="228"/>
      <c r="E57" s="228"/>
      <c r="F57" s="228"/>
      <c r="G57" s="228"/>
      <c r="H57" s="228"/>
      <c r="I57" s="228"/>
    </row>
    <row r="58" spans="1:9" x14ac:dyDescent="0.25">
      <c r="A58" s="228"/>
      <c r="B58" s="228"/>
      <c r="C58" s="228"/>
      <c r="D58" s="228"/>
      <c r="E58" s="228"/>
      <c r="F58" s="228"/>
      <c r="G58" s="228"/>
      <c r="H58" s="228"/>
      <c r="I58" s="228"/>
    </row>
    <row r="59" spans="1:9" x14ac:dyDescent="0.25">
      <c r="A59" s="228"/>
      <c r="B59" s="228"/>
      <c r="C59" s="228"/>
      <c r="D59" s="228"/>
      <c r="E59" s="228"/>
      <c r="F59" s="228"/>
      <c r="G59" s="228"/>
      <c r="H59" s="228"/>
      <c r="I59" s="228"/>
    </row>
    <row r="60" spans="1:9" x14ac:dyDescent="0.25">
      <c r="A60" s="228"/>
      <c r="B60" s="228"/>
      <c r="C60" s="228"/>
      <c r="D60" s="228"/>
      <c r="E60" s="228"/>
      <c r="F60" s="228"/>
      <c r="G60" s="228"/>
      <c r="H60" s="228"/>
      <c r="I60" s="228"/>
    </row>
    <row r="61" spans="1:9" x14ac:dyDescent="0.25">
      <c r="A61" s="228"/>
      <c r="B61" s="228"/>
      <c r="C61" s="228"/>
      <c r="D61" s="228"/>
      <c r="E61" s="228"/>
      <c r="F61" s="228"/>
      <c r="G61" s="228"/>
      <c r="H61" s="228"/>
      <c r="I61" s="228"/>
    </row>
    <row r="62" spans="1:9" x14ac:dyDescent="0.25">
      <c r="A62" s="228"/>
      <c r="B62" s="228"/>
      <c r="C62" s="228"/>
      <c r="D62" s="228"/>
      <c r="E62" s="228"/>
      <c r="F62" s="228"/>
      <c r="G62" s="228"/>
      <c r="H62" s="228"/>
      <c r="I62" s="228"/>
    </row>
    <row r="63" spans="1:9" x14ac:dyDescent="0.25">
      <c r="A63" s="228"/>
      <c r="B63" s="228"/>
      <c r="C63" s="228"/>
      <c r="D63" s="228"/>
      <c r="E63" s="228"/>
      <c r="F63" s="228"/>
      <c r="G63" s="228"/>
      <c r="H63" s="228"/>
      <c r="I63" s="228"/>
    </row>
    <row r="64" spans="1:9" x14ac:dyDescent="0.25">
      <c r="A64" s="228"/>
      <c r="B64" s="228"/>
      <c r="C64" s="228"/>
      <c r="D64" s="228"/>
      <c r="E64" s="228"/>
      <c r="F64" s="228"/>
      <c r="G64" s="228"/>
      <c r="H64" s="228"/>
      <c r="I64" s="228"/>
    </row>
    <row r="65" spans="1:9" x14ac:dyDescent="0.25">
      <c r="A65" s="228"/>
      <c r="B65" s="228"/>
      <c r="C65" s="228"/>
      <c r="D65" s="228"/>
      <c r="E65" s="228"/>
      <c r="F65" s="228"/>
      <c r="G65" s="228"/>
      <c r="H65" s="228"/>
      <c r="I65" s="228"/>
    </row>
    <row r="66" spans="1:9" x14ac:dyDescent="0.25">
      <c r="A66" s="228"/>
      <c r="B66" s="228"/>
      <c r="C66" s="228"/>
      <c r="D66" s="228"/>
      <c r="E66" s="228"/>
      <c r="F66" s="228"/>
      <c r="G66" s="228"/>
      <c r="H66" s="228"/>
      <c r="I66" s="228"/>
    </row>
    <row r="67" spans="1:9" x14ac:dyDescent="0.25">
      <c r="A67" s="228"/>
      <c r="B67" s="228"/>
      <c r="C67" s="228"/>
      <c r="D67" s="228"/>
      <c r="E67" s="228"/>
      <c r="F67" s="228"/>
      <c r="G67" s="228"/>
      <c r="H67" s="228"/>
      <c r="I67" s="228"/>
    </row>
    <row r="68" spans="1:9" x14ac:dyDescent="0.25">
      <c r="A68" s="228"/>
      <c r="B68" s="228"/>
      <c r="C68" s="228"/>
      <c r="D68" s="228"/>
      <c r="E68" s="228"/>
      <c r="F68" s="228"/>
      <c r="G68" s="228"/>
      <c r="H68" s="228"/>
      <c r="I68" s="228"/>
    </row>
    <row r="69" spans="1:9" x14ac:dyDescent="0.25">
      <c r="A69" s="228"/>
      <c r="B69" s="228"/>
      <c r="C69" s="228"/>
      <c r="D69" s="228"/>
      <c r="E69" s="228"/>
      <c r="F69" s="228"/>
      <c r="G69" s="228"/>
      <c r="H69" s="228"/>
      <c r="I69" s="228"/>
    </row>
    <row r="70" spans="1:9" x14ac:dyDescent="0.25">
      <c r="A70" s="228"/>
      <c r="B70" s="228"/>
      <c r="C70" s="228"/>
      <c r="D70" s="228"/>
      <c r="E70" s="228"/>
      <c r="F70" s="228"/>
      <c r="G70" s="228"/>
      <c r="H70" s="228"/>
      <c r="I70" s="228"/>
    </row>
    <row r="71" spans="1:9" x14ac:dyDescent="0.25">
      <c r="A71" s="228"/>
      <c r="B71" s="228"/>
      <c r="C71" s="228"/>
      <c r="D71" s="228"/>
      <c r="E71" s="228"/>
      <c r="F71" s="228"/>
      <c r="G71" s="228"/>
      <c r="H71" s="228"/>
      <c r="I71" s="228"/>
    </row>
  </sheetData>
  <mergeCells count="2">
    <mergeCell ref="A1:J1"/>
    <mergeCell ref="A10:I10"/>
  </mergeCells>
  <phoneticPr fontId="3" type="noConversion"/>
  <printOptions horizontalCentered="1"/>
  <pageMargins left="0.74803149606299213" right="0.74803149606299213" top="0.39370078740157483" bottom="0.39370078740157483" header="0.51181102362204722" footer="0.51181102362204722"/>
  <pageSetup paperSize="9" orientation="landscape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selection sqref="A1:I19"/>
    </sheetView>
  </sheetViews>
  <sheetFormatPr defaultRowHeight="12.6" x14ac:dyDescent="0.25"/>
  <cols>
    <col min="1" max="1" width="17.44140625" customWidth="1"/>
    <col min="2" max="2" width="11.33203125" customWidth="1"/>
    <col min="3" max="3" width="11.6640625" customWidth="1"/>
    <col min="4" max="4" width="12.109375" customWidth="1"/>
    <col min="5" max="5" width="11.6640625" customWidth="1"/>
    <col min="6" max="6" width="13.5546875" customWidth="1"/>
    <col min="7" max="7" width="11.33203125" customWidth="1"/>
    <col min="8" max="8" width="10.6640625" customWidth="1"/>
    <col min="9" max="9" width="12.6640625" customWidth="1"/>
    <col min="13" max="13" width="14.88671875" customWidth="1"/>
  </cols>
  <sheetData>
    <row r="1" spans="1:11" ht="58.5" customHeight="1" x14ac:dyDescent="0.25">
      <c r="A1" s="2498" t="s">
        <v>181</v>
      </c>
      <c r="B1" s="2496"/>
      <c r="C1" s="2496"/>
      <c r="D1" s="2496"/>
      <c r="E1" s="2496"/>
      <c r="F1" s="2496"/>
      <c r="G1" s="2496"/>
      <c r="H1" s="2496"/>
      <c r="K1" s="6"/>
    </row>
    <row r="2" spans="1:11" x14ac:dyDescent="0.25">
      <c r="H2" t="s">
        <v>636</v>
      </c>
    </row>
    <row r="3" spans="1:11" ht="30" customHeight="1" x14ac:dyDescent="0.25">
      <c r="A3" s="2604" t="s">
        <v>352</v>
      </c>
      <c r="B3" s="2496"/>
      <c r="C3" s="2496"/>
      <c r="D3" s="2496"/>
      <c r="E3" s="2496"/>
      <c r="F3" s="2496"/>
      <c r="G3" s="2496"/>
      <c r="H3" s="2496"/>
    </row>
    <row r="6" spans="1:11" x14ac:dyDescent="0.25">
      <c r="A6" s="53"/>
      <c r="B6" s="53"/>
      <c r="C6" s="6"/>
      <c r="D6" s="53"/>
      <c r="E6" s="53"/>
      <c r="F6" s="53"/>
      <c r="G6" s="53"/>
      <c r="H6" s="53"/>
      <c r="I6" s="53"/>
    </row>
    <row r="7" spans="1:11" ht="38.25" customHeight="1" x14ac:dyDescent="0.25">
      <c r="A7" s="2498" t="s">
        <v>186</v>
      </c>
      <c r="B7" s="2603"/>
      <c r="C7" s="2603"/>
      <c r="D7" s="2603"/>
      <c r="E7" s="2603"/>
      <c r="F7" s="2603"/>
      <c r="G7" s="2603"/>
    </row>
    <row r="9" spans="1:11" x14ac:dyDescent="0.25">
      <c r="A9" s="53" t="s">
        <v>185</v>
      </c>
      <c r="B9" s="53"/>
      <c r="C9" s="53"/>
      <c r="D9" s="53"/>
      <c r="E9" s="53"/>
      <c r="F9" s="358">
        <f>SUM(I10:I14)</f>
        <v>773767000</v>
      </c>
    </row>
    <row r="10" spans="1:11" x14ac:dyDescent="0.25">
      <c r="A10" t="s">
        <v>543</v>
      </c>
      <c r="I10" s="1402">
        <f>SUM('5. sz.melléklet'!C9+'5. sz.melléklet'!C10+'5. sz.melléklet'!C12)</f>
        <v>555434000</v>
      </c>
    </row>
    <row r="11" spans="1:11" x14ac:dyDescent="0.25">
      <c r="A11" t="s">
        <v>190</v>
      </c>
      <c r="I11" s="1402"/>
    </row>
    <row r="12" spans="1:11" x14ac:dyDescent="0.25">
      <c r="A12" t="s">
        <v>187</v>
      </c>
      <c r="I12" s="1402"/>
    </row>
    <row r="13" spans="1:11" x14ac:dyDescent="0.25">
      <c r="A13" t="s">
        <v>191</v>
      </c>
      <c r="I13" s="1402">
        <f>SUM('5. sz.melléklet'!C44)</f>
        <v>217933000</v>
      </c>
    </row>
    <row r="14" spans="1:11" x14ac:dyDescent="0.25">
      <c r="A14" t="s">
        <v>188</v>
      </c>
      <c r="I14" s="1402">
        <f>SUM('5. sz.melléklet'!C11)</f>
        <v>400000</v>
      </c>
    </row>
    <row r="15" spans="1:11" x14ac:dyDescent="0.25">
      <c r="A15" t="s">
        <v>189</v>
      </c>
    </row>
    <row r="17" spans="1:6" x14ac:dyDescent="0.25">
      <c r="A17" s="53" t="s">
        <v>206</v>
      </c>
      <c r="B17" s="53"/>
      <c r="C17" s="53"/>
      <c r="D17" s="53"/>
      <c r="E17" s="53"/>
      <c r="F17" s="358">
        <f>F9/2</f>
        <v>386883500</v>
      </c>
    </row>
  </sheetData>
  <mergeCells count="3">
    <mergeCell ref="A1:H1"/>
    <mergeCell ref="A7:G7"/>
    <mergeCell ref="A3:H3"/>
  </mergeCells>
  <phoneticPr fontId="3" type="noConversion"/>
  <pageMargins left="0.75" right="0.75" top="1" bottom="1" header="0.5" footer="0.5"/>
  <pageSetup paperSize="9" orientation="landscape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workbookViewId="0">
      <selection sqref="A1:K27"/>
    </sheetView>
  </sheetViews>
  <sheetFormatPr defaultRowHeight="12.6" x14ac:dyDescent="0.25"/>
  <cols>
    <col min="1" max="1" width="17.44140625" customWidth="1"/>
    <col min="2" max="2" width="11.33203125" customWidth="1"/>
    <col min="3" max="3" width="11.6640625" customWidth="1"/>
    <col min="4" max="4" width="12.109375" customWidth="1"/>
    <col min="5" max="5" width="11.6640625" customWidth="1"/>
    <col min="6" max="6" width="13.5546875" customWidth="1"/>
    <col min="7" max="7" width="11.33203125" customWidth="1"/>
    <col min="8" max="8" width="1.88671875" customWidth="1"/>
    <col min="9" max="11" width="12.6640625" bestFit="1" customWidth="1"/>
    <col min="13" max="13" width="14.88671875" customWidth="1"/>
  </cols>
  <sheetData>
    <row r="1" spans="1:11" ht="58.5" customHeight="1" x14ac:dyDescent="0.25">
      <c r="A1" s="2497" t="s">
        <v>329</v>
      </c>
      <c r="B1" s="2496"/>
      <c r="C1" s="2496"/>
      <c r="D1" s="2496"/>
      <c r="E1" s="2496"/>
      <c r="F1" s="2496"/>
      <c r="G1" s="2496"/>
      <c r="H1" s="2496"/>
    </row>
    <row r="4" spans="1:11" x14ac:dyDescent="0.25">
      <c r="A4" s="338" t="s">
        <v>330</v>
      </c>
      <c r="B4" s="334"/>
      <c r="C4" s="334"/>
      <c r="D4" s="334"/>
      <c r="E4" s="334"/>
      <c r="F4" s="334"/>
      <c r="G4" s="281"/>
    </row>
    <row r="5" spans="1:11" x14ac:dyDescent="0.25">
      <c r="A5" s="336"/>
      <c r="B5" s="53"/>
      <c r="E5" s="753" t="s">
        <v>501</v>
      </c>
      <c r="F5" s="753" t="s">
        <v>513</v>
      </c>
      <c r="G5" s="754" t="s">
        <v>564</v>
      </c>
    </row>
    <row r="6" spans="1:11" x14ac:dyDescent="0.25">
      <c r="A6" s="339" t="s">
        <v>331</v>
      </c>
      <c r="B6" s="53"/>
      <c r="E6">
        <v>0</v>
      </c>
      <c r="F6" s="252">
        <v>0</v>
      </c>
      <c r="G6" s="283">
        <v>0</v>
      </c>
    </row>
    <row r="7" spans="1:11" x14ac:dyDescent="0.25">
      <c r="A7" s="335" t="s">
        <v>332</v>
      </c>
      <c r="E7">
        <v>0</v>
      </c>
      <c r="F7" s="228">
        <v>0</v>
      </c>
      <c r="G7" s="283">
        <v>0</v>
      </c>
    </row>
    <row r="8" spans="1:11" x14ac:dyDescent="0.25">
      <c r="A8" s="335" t="s">
        <v>333</v>
      </c>
      <c r="E8">
        <v>0</v>
      </c>
      <c r="F8" s="228">
        <v>0</v>
      </c>
      <c r="G8" s="283">
        <v>0</v>
      </c>
    </row>
    <row r="9" spans="1:11" x14ac:dyDescent="0.25">
      <c r="A9" s="335" t="s">
        <v>337</v>
      </c>
      <c r="E9">
        <v>0</v>
      </c>
      <c r="F9">
        <v>0</v>
      </c>
      <c r="G9" s="283">
        <v>0</v>
      </c>
    </row>
    <row r="10" spans="1:11" x14ac:dyDescent="0.25">
      <c r="A10" s="335" t="s">
        <v>334</v>
      </c>
      <c r="E10">
        <v>0</v>
      </c>
      <c r="F10">
        <v>0</v>
      </c>
      <c r="G10" s="283">
        <v>0</v>
      </c>
    </row>
    <row r="11" spans="1:11" x14ac:dyDescent="0.25">
      <c r="A11" s="335" t="s">
        <v>336</v>
      </c>
      <c r="E11">
        <v>0</v>
      </c>
      <c r="F11">
        <v>0</v>
      </c>
      <c r="G11" s="283">
        <v>0</v>
      </c>
    </row>
    <row r="12" spans="1:11" x14ac:dyDescent="0.25">
      <c r="A12" s="340" t="s">
        <v>335</v>
      </c>
      <c r="B12" s="271"/>
      <c r="C12" s="271"/>
      <c r="D12" s="271"/>
      <c r="E12" s="271"/>
      <c r="F12" s="271"/>
      <c r="G12" s="289"/>
      <c r="H12" s="53"/>
      <c r="I12" s="53"/>
    </row>
    <row r="13" spans="1:11" x14ac:dyDescent="0.25">
      <c r="A13" s="53"/>
      <c r="B13" s="53"/>
      <c r="C13" s="53"/>
      <c r="D13" s="53"/>
      <c r="E13" s="53"/>
      <c r="F13" s="53"/>
      <c r="G13" s="53"/>
      <c r="H13" s="53"/>
      <c r="I13" s="53"/>
    </row>
    <row r="14" spans="1:11" ht="38.25" customHeight="1" x14ac:dyDescent="0.25">
      <c r="A14" s="2605" t="s">
        <v>186</v>
      </c>
      <c r="B14" s="2606"/>
      <c r="C14" s="2606"/>
      <c r="D14" s="2606"/>
      <c r="E14" s="2606"/>
      <c r="F14" s="2606"/>
      <c r="G14" s="2606"/>
      <c r="H14" s="334"/>
      <c r="I14" s="334"/>
      <c r="J14" s="334"/>
      <c r="K14" s="281"/>
    </row>
    <row r="15" spans="1:11" x14ac:dyDescent="0.25">
      <c r="A15" s="335"/>
      <c r="I15" s="753" t="s">
        <v>501</v>
      </c>
      <c r="J15" s="753" t="s">
        <v>513</v>
      </c>
      <c r="K15" s="754" t="s">
        <v>564</v>
      </c>
    </row>
    <row r="16" spans="1:11" x14ac:dyDescent="0.25">
      <c r="A16" s="336" t="s">
        <v>185</v>
      </c>
      <c r="B16" s="53"/>
      <c r="C16" s="53"/>
      <c r="D16" s="53"/>
      <c r="E16" s="53"/>
      <c r="F16" s="53"/>
      <c r="K16" s="283"/>
    </row>
    <row r="17" spans="1:11" x14ac:dyDescent="0.25">
      <c r="A17" s="335" t="s">
        <v>547</v>
      </c>
      <c r="I17" s="1402">
        <v>575000000</v>
      </c>
      <c r="J17" s="1402">
        <v>575000000</v>
      </c>
      <c r="K17" s="2409">
        <v>575000000</v>
      </c>
    </row>
    <row r="18" spans="1:11" x14ac:dyDescent="0.25">
      <c r="A18" s="335" t="s">
        <v>190</v>
      </c>
      <c r="I18" s="1402"/>
      <c r="J18" s="1402"/>
      <c r="K18" s="2409"/>
    </row>
    <row r="19" spans="1:11" x14ac:dyDescent="0.25">
      <c r="A19" s="335" t="s">
        <v>187</v>
      </c>
      <c r="I19" s="1402"/>
      <c r="J19" s="1402"/>
      <c r="K19" s="2409"/>
    </row>
    <row r="20" spans="1:11" x14ac:dyDescent="0.25">
      <c r="A20" s="335" t="s">
        <v>191</v>
      </c>
      <c r="I20" s="1402">
        <v>30000000</v>
      </c>
      <c r="J20" s="1402">
        <v>20000000</v>
      </c>
      <c r="K20" s="2409">
        <v>10000000</v>
      </c>
    </row>
    <row r="21" spans="1:11" x14ac:dyDescent="0.25">
      <c r="A21" s="335" t="s">
        <v>188</v>
      </c>
      <c r="I21" s="1402">
        <v>400000</v>
      </c>
      <c r="J21" s="1402">
        <v>400000</v>
      </c>
      <c r="K21" s="2409">
        <v>400000</v>
      </c>
    </row>
    <row r="22" spans="1:11" x14ac:dyDescent="0.25">
      <c r="A22" s="335" t="s">
        <v>548</v>
      </c>
      <c r="I22" s="1402"/>
      <c r="J22" s="1402"/>
      <c r="K22" s="2409"/>
    </row>
    <row r="23" spans="1:11" x14ac:dyDescent="0.25">
      <c r="A23" s="335"/>
      <c r="I23" s="1402"/>
      <c r="J23" s="1402"/>
      <c r="K23" s="2409"/>
    </row>
    <row r="24" spans="1:11" x14ac:dyDescent="0.25">
      <c r="A24" s="336" t="s">
        <v>206</v>
      </c>
      <c r="B24" s="53"/>
      <c r="C24" s="53"/>
      <c r="D24" s="53"/>
      <c r="E24" s="53"/>
      <c r="F24" s="53"/>
      <c r="I24" s="358">
        <f>SUM(I17:I22)/2</f>
        <v>302700000</v>
      </c>
      <c r="J24" s="358">
        <f>SUM(J17:J22)/2</f>
        <v>297700000</v>
      </c>
      <c r="K24" s="2410">
        <f>SUM(K17:K22)/2</f>
        <v>292700000</v>
      </c>
    </row>
    <row r="25" spans="1:11" x14ac:dyDescent="0.25">
      <c r="A25" s="337"/>
      <c r="B25" s="8"/>
      <c r="C25" s="8"/>
      <c r="D25" s="8"/>
      <c r="E25" s="8"/>
      <c r="F25" s="8"/>
      <c r="G25" s="8"/>
      <c r="H25" s="8"/>
      <c r="I25" s="2411"/>
      <c r="J25" s="2411"/>
      <c r="K25" s="2412"/>
    </row>
    <row r="26" spans="1:11" x14ac:dyDescent="0.25">
      <c r="I26" s="1402"/>
      <c r="J26" s="1402"/>
      <c r="K26" s="1402"/>
    </row>
    <row r="27" spans="1:11" x14ac:dyDescent="0.25">
      <c r="I27" s="1402">
        <f>SUM(I17:I21)</f>
        <v>605400000</v>
      </c>
      <c r="J27" s="1402">
        <f>SUM(J17:J21)</f>
        <v>595400000</v>
      </c>
      <c r="K27" s="1402">
        <f>SUM(K17:K21)</f>
        <v>585400000</v>
      </c>
    </row>
  </sheetData>
  <mergeCells count="2">
    <mergeCell ref="A1:H1"/>
    <mergeCell ref="A14:G14"/>
  </mergeCells>
  <phoneticPr fontId="3" type="noConversion"/>
  <pageMargins left="0.75" right="0.75" top="1" bottom="1" header="0.5" footer="0.5"/>
  <pageSetup paperSize="9" orientation="landscape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9">
    <pageSetUpPr fitToPage="1"/>
  </sheetPr>
  <dimension ref="A2:G32"/>
  <sheetViews>
    <sheetView workbookViewId="0">
      <selection sqref="A1:G34"/>
    </sheetView>
  </sheetViews>
  <sheetFormatPr defaultRowHeight="12.6" x14ac:dyDescent="0.25"/>
  <cols>
    <col min="1" max="1" width="34.88671875" style="53" customWidth="1"/>
    <col min="2" max="2" width="8" customWidth="1"/>
    <col min="3" max="3" width="10.88671875" customWidth="1"/>
    <col min="4" max="4" width="8.33203125" customWidth="1"/>
    <col min="6" max="6" width="16.109375" customWidth="1"/>
    <col min="7" max="7" width="9" customWidth="1"/>
  </cols>
  <sheetData>
    <row r="2" spans="1:7" s="10" customFormat="1" ht="33" customHeight="1" x14ac:dyDescent="0.35">
      <c r="A2" s="2529" t="s">
        <v>565</v>
      </c>
      <c r="B2" s="2530"/>
      <c r="C2" s="2530"/>
      <c r="D2" s="2530"/>
      <c r="E2" s="2530"/>
      <c r="F2" s="2530"/>
      <c r="G2" s="2530"/>
    </row>
    <row r="3" spans="1:7" ht="0.75" customHeight="1" x14ac:dyDescent="0.35">
      <c r="A3" s="31" t="s">
        <v>153</v>
      </c>
      <c r="B3" s="31"/>
      <c r="C3" s="31"/>
      <c r="D3" s="31"/>
      <c r="E3" s="31"/>
      <c r="F3" s="31"/>
      <c r="G3" s="31"/>
    </row>
    <row r="4" spans="1:7" s="53" customFormat="1" ht="0.75" customHeight="1" x14ac:dyDescent="0.25">
      <c r="A4"/>
      <c r="B4"/>
      <c r="C4"/>
      <c r="D4"/>
      <c r="E4"/>
      <c r="F4"/>
      <c r="G4"/>
    </row>
    <row r="5" spans="1:7" ht="0.75" customHeight="1" thickBot="1" x14ac:dyDescent="0.3">
      <c r="A5"/>
      <c r="B5" s="53"/>
      <c r="C5" s="53"/>
      <c r="G5" s="53"/>
    </row>
    <row r="6" spans="1:7" ht="15" hidden="1" customHeight="1" thickBot="1" x14ac:dyDescent="0.3">
      <c r="A6"/>
      <c r="B6" s="53"/>
      <c r="C6" s="53"/>
      <c r="G6" s="53"/>
    </row>
    <row r="7" spans="1:7" ht="27.75" customHeight="1" thickBot="1" x14ac:dyDescent="0.3">
      <c r="A7" s="279"/>
      <c r="B7" s="508" t="s">
        <v>21</v>
      </c>
      <c r="C7" s="508" t="s">
        <v>61</v>
      </c>
      <c r="D7" s="2607" t="s">
        <v>62</v>
      </c>
      <c r="E7" s="2608"/>
      <c r="F7" s="509" t="s">
        <v>116</v>
      </c>
      <c r="G7" s="375" t="s">
        <v>117</v>
      </c>
    </row>
    <row r="8" spans="1:7" ht="15" customHeight="1" thickBot="1" x14ac:dyDescent="0.3">
      <c r="A8" s="133"/>
      <c r="B8" s="293"/>
      <c r="C8" s="131" t="s">
        <v>23</v>
      </c>
      <c r="D8" s="504" t="s">
        <v>23</v>
      </c>
      <c r="E8" s="504" t="s">
        <v>24</v>
      </c>
      <c r="F8" s="132" t="s">
        <v>23</v>
      </c>
      <c r="G8" s="127"/>
    </row>
    <row r="9" spans="1:7" ht="6" customHeight="1" x14ac:dyDescent="0.25">
      <c r="A9" s="68"/>
      <c r="B9" s="271"/>
      <c r="C9" s="271"/>
      <c r="D9" s="122"/>
      <c r="E9" s="122"/>
      <c r="F9" s="123"/>
      <c r="G9" s="510"/>
    </row>
    <row r="10" spans="1:7" ht="15" customHeight="1" x14ac:dyDescent="0.25">
      <c r="A10" s="124" t="s">
        <v>114</v>
      </c>
      <c r="B10" s="511">
        <f>SUM(B11:B14)</f>
        <v>8</v>
      </c>
      <c r="C10" s="349"/>
      <c r="D10" s="125"/>
      <c r="E10" s="125"/>
      <c r="F10" s="129"/>
      <c r="G10" s="510"/>
    </row>
    <row r="11" spans="1:7" ht="15" customHeight="1" x14ac:dyDescent="0.25">
      <c r="A11" s="68" t="s">
        <v>140</v>
      </c>
      <c r="B11" s="512">
        <f>SUM(C11:F11)</f>
        <v>2</v>
      </c>
      <c r="C11" s="512"/>
      <c r="D11" s="126">
        <v>2</v>
      </c>
      <c r="E11" s="126"/>
      <c r="F11" s="129"/>
      <c r="G11" s="513"/>
    </row>
    <row r="12" spans="1:7" ht="15" customHeight="1" x14ac:dyDescent="0.25">
      <c r="A12" s="68" t="s">
        <v>68</v>
      </c>
      <c r="B12" s="512">
        <v>4</v>
      </c>
      <c r="C12" s="512"/>
      <c r="D12" s="126">
        <v>4</v>
      </c>
      <c r="E12" s="126"/>
      <c r="F12" s="129"/>
      <c r="G12" s="513"/>
    </row>
    <row r="13" spans="1:7" ht="15" customHeight="1" x14ac:dyDescent="0.25">
      <c r="A13" s="11" t="s">
        <v>469</v>
      </c>
      <c r="B13" s="11">
        <v>1</v>
      </c>
      <c r="C13" s="12"/>
      <c r="D13" s="125"/>
      <c r="E13" s="125"/>
      <c r="F13" s="774">
        <v>1</v>
      </c>
      <c r="G13" s="516"/>
    </row>
    <row r="14" spans="1:7" ht="15" customHeight="1" x14ac:dyDescent="0.25">
      <c r="A14" s="11" t="s">
        <v>470</v>
      </c>
      <c r="B14" s="11">
        <v>1</v>
      </c>
      <c r="C14" s="12"/>
      <c r="D14" s="125"/>
      <c r="E14" s="125"/>
      <c r="F14" s="774">
        <v>1</v>
      </c>
      <c r="G14" s="517"/>
    </row>
    <row r="15" spans="1:7" ht="15" customHeight="1" x14ac:dyDescent="0.25">
      <c r="A15" s="12"/>
      <c r="B15" s="349"/>
      <c r="C15" s="349"/>
      <c r="D15" s="125"/>
      <c r="E15" s="125"/>
      <c r="F15" s="775"/>
      <c r="G15" s="517"/>
    </row>
    <row r="16" spans="1:7" ht="15" customHeight="1" x14ac:dyDescent="0.3">
      <c r="A16" s="72" t="s">
        <v>30</v>
      </c>
      <c r="B16" s="514">
        <f>SUM(B17:B19)</f>
        <v>17</v>
      </c>
      <c r="C16" s="512"/>
      <c r="D16" s="13"/>
      <c r="E16" s="12"/>
      <c r="F16" s="62"/>
      <c r="G16" s="513"/>
    </row>
    <row r="17" spans="1:7" ht="15" customHeight="1" x14ac:dyDescent="0.25">
      <c r="A17" s="54" t="s">
        <v>59</v>
      </c>
      <c r="B17" s="512">
        <v>14</v>
      </c>
      <c r="C17" s="512"/>
      <c r="D17" s="13"/>
      <c r="E17" s="13"/>
      <c r="F17" s="62">
        <v>14</v>
      </c>
      <c r="G17" s="513"/>
    </row>
    <row r="18" spans="1:7" ht="15" customHeight="1" x14ac:dyDescent="0.25">
      <c r="A18" s="54" t="s">
        <v>63</v>
      </c>
      <c r="B18" s="512">
        <f>SUM(C18:F18)</f>
        <v>1</v>
      </c>
      <c r="C18" s="512"/>
      <c r="D18" s="13"/>
      <c r="E18" s="13"/>
      <c r="F18" s="62">
        <v>1</v>
      </c>
      <c r="G18" s="513"/>
    </row>
    <row r="19" spans="1:7" ht="12" customHeight="1" x14ac:dyDescent="0.25">
      <c r="A19" s="12" t="s">
        <v>305</v>
      </c>
      <c r="B19" s="349">
        <v>2</v>
      </c>
      <c r="C19" s="349">
        <v>2</v>
      </c>
      <c r="D19" s="8"/>
      <c r="E19" s="8"/>
      <c r="F19" s="69"/>
      <c r="G19" s="513"/>
    </row>
    <row r="20" spans="1:7" ht="3" customHeight="1" x14ac:dyDescent="0.25">
      <c r="A20" s="68" t="s">
        <v>60</v>
      </c>
      <c r="B20" s="271"/>
      <c r="C20" s="271"/>
      <c r="D20" s="8"/>
      <c r="E20" s="8"/>
      <c r="F20" s="69"/>
      <c r="G20" s="513"/>
    </row>
    <row r="21" spans="1:7" ht="6" customHeight="1" x14ac:dyDescent="0.25">
      <c r="A21" s="64"/>
      <c r="B21" s="515"/>
      <c r="C21" s="515"/>
      <c r="D21" s="9"/>
      <c r="E21" s="9"/>
      <c r="F21" s="69"/>
      <c r="G21" s="516"/>
    </row>
    <row r="22" spans="1:7" ht="15" customHeight="1" x14ac:dyDescent="0.3">
      <c r="A22" s="72" t="s">
        <v>56</v>
      </c>
      <c r="B22" s="514">
        <f>SUM(B23)</f>
        <v>29</v>
      </c>
      <c r="C22" s="512"/>
      <c r="D22" s="13"/>
      <c r="E22" s="12"/>
      <c r="F22" s="62"/>
      <c r="G22" s="517"/>
    </row>
    <row r="23" spans="1:7" ht="15" customHeight="1" x14ac:dyDescent="0.25">
      <c r="A23" s="51" t="s">
        <v>64</v>
      </c>
      <c r="B23" s="349">
        <f>SUM(D23:E23)</f>
        <v>29</v>
      </c>
      <c r="C23" s="349"/>
      <c r="D23" s="12">
        <v>26</v>
      </c>
      <c r="E23" s="12">
        <v>3</v>
      </c>
      <c r="F23" s="62"/>
      <c r="G23" s="510"/>
    </row>
    <row r="24" spans="1:7" ht="6" customHeight="1" x14ac:dyDescent="0.25">
      <c r="A24" s="64"/>
      <c r="B24" s="515"/>
      <c r="C24" s="515"/>
      <c r="D24" s="9"/>
      <c r="E24" s="9"/>
      <c r="F24" s="69"/>
      <c r="G24" s="510"/>
    </row>
    <row r="25" spans="1:7" ht="31.2" x14ac:dyDescent="0.3">
      <c r="A25" s="73" t="s">
        <v>170</v>
      </c>
      <c r="B25" s="514">
        <f>SUM(B26:B27)</f>
        <v>8</v>
      </c>
      <c r="C25" s="512"/>
      <c r="D25" s="13"/>
      <c r="E25" s="12"/>
      <c r="F25" s="61"/>
      <c r="G25" s="513"/>
    </row>
    <row r="26" spans="1:7" x14ac:dyDescent="0.25">
      <c r="A26" s="55" t="s">
        <v>65</v>
      </c>
      <c r="B26" s="512">
        <v>5</v>
      </c>
      <c r="C26" s="512"/>
      <c r="D26" s="13">
        <v>5</v>
      </c>
      <c r="E26" s="12"/>
      <c r="F26" s="62"/>
      <c r="G26" s="513"/>
    </row>
    <row r="27" spans="1:7" x14ac:dyDescent="0.25">
      <c r="A27" s="65" t="s">
        <v>66</v>
      </c>
      <c r="B27" s="349">
        <v>3</v>
      </c>
      <c r="C27" s="66"/>
      <c r="D27" s="12">
        <v>3</v>
      </c>
      <c r="E27" s="12">
        <v>0</v>
      </c>
      <c r="F27" s="62"/>
      <c r="G27" s="128"/>
    </row>
    <row r="28" spans="1:7" ht="6" customHeight="1" x14ac:dyDescent="0.25">
      <c r="A28" s="70"/>
      <c r="B28" s="515"/>
      <c r="C28" s="67"/>
      <c r="D28" s="9"/>
      <c r="E28" s="9"/>
      <c r="F28" s="69"/>
      <c r="G28" s="128"/>
    </row>
    <row r="29" spans="1:7" ht="31.2" x14ac:dyDescent="0.3">
      <c r="A29" s="73" t="s">
        <v>115</v>
      </c>
      <c r="B29" s="514">
        <f>SUM(B30:B30)</f>
        <v>15</v>
      </c>
      <c r="C29" s="512"/>
      <c r="D29" s="13"/>
      <c r="E29" s="12"/>
      <c r="F29" s="61"/>
      <c r="G29" s="513">
        <v>8</v>
      </c>
    </row>
    <row r="30" spans="1:7" x14ac:dyDescent="0.25">
      <c r="A30" s="55" t="s">
        <v>67</v>
      </c>
      <c r="B30" s="512">
        <v>15</v>
      </c>
      <c r="C30" s="512"/>
      <c r="D30" s="13">
        <v>15</v>
      </c>
      <c r="E30" s="13"/>
      <c r="F30" s="62"/>
      <c r="G30" s="757"/>
    </row>
    <row r="31" spans="1:7" ht="6" customHeight="1" thickBot="1" x14ac:dyDescent="0.3">
      <c r="A31" s="71"/>
      <c r="B31" s="518"/>
      <c r="C31" s="518"/>
      <c r="D31" s="63"/>
      <c r="E31" s="63"/>
      <c r="F31" s="130"/>
      <c r="G31" s="519"/>
    </row>
    <row r="32" spans="1:7" ht="15" customHeight="1" thickBot="1" x14ac:dyDescent="0.3">
      <c r="A32" s="520" t="s">
        <v>7</v>
      </c>
      <c r="B32" s="521">
        <f>B16+B22+B25+B29+B10</f>
        <v>77</v>
      </c>
      <c r="C32" s="521">
        <f>SUM(C11:C31)</f>
        <v>2</v>
      </c>
      <c r="D32" s="521">
        <f>SUM(D10:D31)</f>
        <v>55</v>
      </c>
      <c r="E32" s="521">
        <f>SUM(E11:E30)</f>
        <v>3</v>
      </c>
      <c r="F32" s="286">
        <f>F17+F18+F14+F13</f>
        <v>17</v>
      </c>
      <c r="G32" s="286">
        <f>SUM(G10:G31)</f>
        <v>8</v>
      </c>
    </row>
  </sheetData>
  <mergeCells count="2">
    <mergeCell ref="D7:E7"/>
    <mergeCell ref="A2:G2"/>
  </mergeCells>
  <phoneticPr fontId="3" type="noConversion"/>
  <printOptions horizontalCentered="1"/>
  <pageMargins left="0.39370078740157483" right="0.19685039370078741" top="0.98425196850393704" bottom="0.98425196850393704" header="0.59055118110236227" footer="0.51181102362204722"/>
  <pageSetup paperSize="9" orientation="portrait" r:id="rId1"/>
  <headerFooter alignWithMargins="0">
    <oddHeader>&amp;A</oddHeader>
    <oddFooter>&amp;P. oldal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31"/>
  <sheetViews>
    <sheetView zoomScaleNormal="100" workbookViewId="0">
      <selection sqref="A1:S31"/>
    </sheetView>
  </sheetViews>
  <sheetFormatPr defaultRowHeight="12.6" x14ac:dyDescent="0.25"/>
  <cols>
    <col min="1" max="1" width="39.33203125" customWidth="1"/>
    <col min="2" max="2" width="14.5546875" bestFit="1" customWidth="1"/>
    <col min="3" max="4" width="0.109375" customWidth="1"/>
    <col min="5" max="5" width="15.6640625" customWidth="1"/>
    <col min="6" max="7" width="0.109375" customWidth="1"/>
    <col min="8" max="8" width="17.44140625" customWidth="1"/>
    <col min="9" max="9" width="0.109375" customWidth="1"/>
    <col min="10" max="10" width="0.33203125" customWidth="1"/>
    <col min="11" max="11" width="15.6640625" customWidth="1"/>
    <col min="12" max="13" width="0.109375" customWidth="1"/>
    <col min="14" max="14" width="15.6640625" customWidth="1"/>
    <col min="15" max="16" width="0.109375" customWidth="1"/>
    <col min="17" max="17" width="18.33203125" style="53" bestFit="1" customWidth="1"/>
    <col min="18" max="18" width="0.109375" style="53" customWidth="1"/>
    <col min="19" max="20" width="0.109375" customWidth="1"/>
    <col min="22" max="22" width="20.88671875" customWidth="1"/>
  </cols>
  <sheetData>
    <row r="1" spans="1:20" ht="24" customHeight="1" x14ac:dyDescent="0.25">
      <c r="A1" s="2497" t="s">
        <v>550</v>
      </c>
      <c r="B1" s="2498"/>
      <c r="C1" s="2498"/>
      <c r="D1" s="2498"/>
      <c r="E1" s="2498"/>
      <c r="F1" s="2498"/>
      <c r="G1" s="2498"/>
      <c r="H1" s="2498"/>
      <c r="I1" s="2498"/>
      <c r="J1" s="2498"/>
      <c r="K1" s="2498"/>
      <c r="L1" s="2498"/>
      <c r="M1" s="2498"/>
      <c r="N1" s="2498"/>
      <c r="O1" s="354"/>
      <c r="P1" s="354"/>
    </row>
    <row r="2" spans="1:20" ht="5.25" customHeight="1" thickBot="1" x14ac:dyDescent="0.3"/>
    <row r="3" spans="1:20" ht="54" customHeight="1" x14ac:dyDescent="0.35">
      <c r="A3" s="1108" t="s">
        <v>483</v>
      </c>
      <c r="B3" s="2499" t="s">
        <v>119</v>
      </c>
      <c r="C3" s="2500"/>
      <c r="D3" s="2501"/>
      <c r="E3" s="2482" t="s">
        <v>121</v>
      </c>
      <c r="F3" s="2502"/>
      <c r="G3" s="2503"/>
      <c r="H3" s="2482" t="s">
        <v>122</v>
      </c>
      <c r="I3" s="2502"/>
      <c r="J3" s="2503"/>
      <c r="K3" s="2482" t="s">
        <v>183</v>
      </c>
      <c r="L3" s="2504"/>
      <c r="M3" s="2505"/>
      <c r="N3" s="2499" t="s">
        <v>120</v>
      </c>
      <c r="O3" s="2506"/>
      <c r="P3" s="2507"/>
      <c r="Q3" s="2482" t="s">
        <v>346</v>
      </c>
      <c r="R3" s="2483"/>
      <c r="S3" s="2484"/>
      <c r="T3" s="378"/>
    </row>
    <row r="4" spans="1:20" ht="32.25" customHeight="1" x14ac:dyDescent="0.35">
      <c r="A4" s="143"/>
      <c r="B4" s="134" t="s">
        <v>353</v>
      </c>
      <c r="C4" s="134" t="s">
        <v>354</v>
      </c>
      <c r="D4" s="590" t="s">
        <v>355</v>
      </c>
      <c r="E4" s="134" t="s">
        <v>353</v>
      </c>
      <c r="F4" s="134" t="s">
        <v>354</v>
      </c>
      <c r="G4" s="590" t="s">
        <v>355</v>
      </c>
      <c r="H4" s="134" t="s">
        <v>353</v>
      </c>
      <c r="I4" s="134" t="s">
        <v>354</v>
      </c>
      <c r="J4" s="590" t="s">
        <v>355</v>
      </c>
      <c r="K4" s="134" t="s">
        <v>353</v>
      </c>
      <c r="L4" s="134" t="s">
        <v>354</v>
      </c>
      <c r="M4" s="590" t="s">
        <v>355</v>
      </c>
      <c r="N4" s="134" t="s">
        <v>353</v>
      </c>
      <c r="O4" s="134" t="s">
        <v>354</v>
      </c>
      <c r="P4" s="590" t="s">
        <v>355</v>
      </c>
      <c r="Q4" s="134" t="s">
        <v>353</v>
      </c>
      <c r="R4" s="134" t="s">
        <v>354</v>
      </c>
      <c r="S4" s="591"/>
      <c r="T4" s="592"/>
    </row>
    <row r="5" spans="1:20" ht="12" customHeight="1" x14ac:dyDescent="0.25">
      <c r="A5" s="66" t="s">
        <v>182</v>
      </c>
      <c r="B5" s="1325">
        <f>SUM('5. sz.melléklet'!C7)</f>
        <v>580834000</v>
      </c>
      <c r="C5" s="324">
        <f>SUM('5. sz.melléklet'!D7)</f>
        <v>548194</v>
      </c>
      <c r="D5" s="324" t="e">
        <f>SUM('5.a.sz. melléklet'!D91)</f>
        <v>#REF!</v>
      </c>
      <c r="E5" s="551">
        <f>SUM('13.sz.melléklet'!C38)</f>
        <v>0</v>
      </c>
      <c r="F5" s="551">
        <f>SUM('13.sz.melléklet'!C39)</f>
        <v>0</v>
      </c>
      <c r="G5" s="551">
        <f>SUM('13.sz.melléklet'!C40)</f>
        <v>0</v>
      </c>
      <c r="H5" s="276"/>
      <c r="I5" s="276"/>
      <c r="J5" s="276"/>
      <c r="K5" s="276"/>
      <c r="L5" s="356"/>
      <c r="M5" s="356"/>
      <c r="N5" s="342"/>
      <c r="O5" s="342"/>
      <c r="P5" s="342"/>
      <c r="Q5" s="349">
        <f>SUM(B5+E5+H5+K5+N5)</f>
        <v>580834000</v>
      </c>
      <c r="R5" s="349">
        <f>SUM(C5,F5,I5,L5,O5)</f>
        <v>548194</v>
      </c>
      <c r="S5" s="652" t="e">
        <f>SUM(D5+G5+J5+M5+P5)</f>
        <v>#REF!</v>
      </c>
      <c r="T5" s="656" t="e">
        <f>SUM(S5/R5)</f>
        <v>#REF!</v>
      </c>
    </row>
    <row r="6" spans="1:20" x14ac:dyDescent="0.25">
      <c r="A6" s="12" t="s">
        <v>298</v>
      </c>
      <c r="B6" s="140">
        <f>SUM('5. sz.melléklet'!C5)</f>
        <v>89899000</v>
      </c>
      <c r="C6" s="140" t="e">
        <f>SUM('5. sz.melléklet'!D5)</f>
        <v>#REF!</v>
      </c>
      <c r="D6" s="140" t="e">
        <f>SUM('5.a.sz. melléklet'!C91)</f>
        <v>#REF!</v>
      </c>
      <c r="E6" s="140">
        <f>SUM('13.sz.melléklet'!D38)</f>
        <v>10180000</v>
      </c>
      <c r="F6" s="140">
        <f>SUM('13.sz.melléklet'!D39)</f>
        <v>10180000</v>
      </c>
      <c r="G6" s="140">
        <f>SUM('13.sz.melléklet'!D40)</f>
        <v>8790</v>
      </c>
      <c r="H6" s="140">
        <f>SUM('14.sz.melléklet'!C46)</f>
        <v>2898000</v>
      </c>
      <c r="I6" s="140">
        <f>SUM('14.sz.melléklet'!C47)</f>
        <v>2898000</v>
      </c>
      <c r="J6" s="140">
        <f>SUM('14.sz.melléklet'!C48)</f>
        <v>9243</v>
      </c>
      <c r="K6" s="140">
        <f>SUM('15.sz.melléklet'!C38)</f>
        <v>6855000</v>
      </c>
      <c r="L6" s="343">
        <f>SUM('15.sz.melléklet'!C39)</f>
        <v>6855000</v>
      </c>
      <c r="M6" s="343">
        <f>SUM('15.sz.melléklet'!C40)</f>
        <v>3922</v>
      </c>
      <c r="N6" s="343">
        <f>SUM('16.sz. melléklet'!C42)</f>
        <v>267000</v>
      </c>
      <c r="O6" s="343">
        <f>SUM('16.sz. melléklet'!C43)</f>
        <v>0</v>
      </c>
      <c r="P6" s="343">
        <f>SUM('16.sz. melléklet'!C44)</f>
        <v>523</v>
      </c>
      <c r="Q6" s="350">
        <f>SUM(B6+E6+H6+K6+N6)</f>
        <v>110099000</v>
      </c>
      <c r="R6" s="350" t="e">
        <f>SUM(C6,F6,I6,L6,O6)</f>
        <v>#REF!</v>
      </c>
      <c r="S6" s="652" t="e">
        <f t="shared" ref="S6:S13" si="0">SUM(D6+G6+J6+M6+P6)</f>
        <v>#REF!</v>
      </c>
      <c r="T6" s="656" t="e">
        <f t="shared" ref="T6:T15" si="1">SUM(S6/R6)</f>
        <v>#REF!</v>
      </c>
    </row>
    <row r="7" spans="1:20" x14ac:dyDescent="0.25">
      <c r="A7" s="12" t="s">
        <v>299</v>
      </c>
      <c r="B7" s="140">
        <f>SUM('5. sz.melléklet'!C15+'5. sz.melléklet'!C16+'5. sz.melléklet'!C17+'5. sz.melléklet'!C18+'5. sz.melléklet'!C19+'5. sz.melléklet'!C20+'5. sz.melléklet'!C24+'5. sz.melléklet'!C25+'5. sz.melléklet'!C26+'5. sz.melléklet'!C28+'5. sz.melléklet'!C30)</f>
        <v>149587089</v>
      </c>
      <c r="C7" s="140" t="e">
        <f>SUM('5. sz.melléklet'!D15+'5. sz.melléklet'!D16+'5. sz.melléklet'!D17+'5. sz.melléklet'!D18+'5. sz.melléklet'!D19+'5. sz.melléklet'!D20+'5. sz.melléklet'!D24+'5. sz.melléklet'!D25+'5. sz.melléklet'!D26+'5. sz.melléklet'!D28+'5. sz.melléklet'!#REF!)</f>
        <v>#REF!</v>
      </c>
      <c r="D7" s="140" t="e">
        <f>SUM('5. sz.melléklet'!E15+'5. sz.melléklet'!E16+'5. sz.melléklet'!E17+'5. sz.melléklet'!E18+'5. sz.melléklet'!E19+'5. sz.melléklet'!E20+'5. sz.melléklet'!E24+'5. sz.melléklet'!E25+'5. sz.melléklet'!E26+'5. sz.melléklet'!#REF!+'5. sz.melléklet'!E34+'5. sz.melléklet'!E29+'5. sz.melléklet'!E40)</f>
        <v>#REF!</v>
      </c>
      <c r="E7" s="12"/>
      <c r="F7" s="560">
        <f>SUM('13.sz.melléklet'!F31)</f>
        <v>1127</v>
      </c>
      <c r="G7" s="12"/>
      <c r="H7" s="12"/>
      <c r="I7" s="12"/>
      <c r="J7" s="12"/>
      <c r="K7" s="12"/>
      <c r="L7" s="344"/>
      <c r="M7" s="344"/>
      <c r="N7" s="344"/>
      <c r="O7" s="344"/>
      <c r="P7" s="344"/>
      <c r="Q7" s="350">
        <f t="shared" ref="Q7:Q12" si="2">SUM(B7,E7,H7,K7,N7)</f>
        <v>149587089</v>
      </c>
      <c r="R7" s="350" t="e">
        <f>SUM(C7,F7,I7,L7,O7)</f>
        <v>#REF!</v>
      </c>
      <c r="S7" s="652" t="e">
        <f t="shared" si="0"/>
        <v>#REF!</v>
      </c>
      <c r="T7" s="656" t="e">
        <f t="shared" si="1"/>
        <v>#REF!</v>
      </c>
    </row>
    <row r="8" spans="1:20" x14ac:dyDescent="0.25">
      <c r="A8" s="12" t="s">
        <v>300</v>
      </c>
      <c r="B8" s="140">
        <f>SUM('5. sz.melléklet'!C29+'5. sz.melléklet'!C31+'5. sz.melléklet'!C32+'5. sz.melléklet'!C33+'5. sz.melléklet'!C35)</f>
        <v>676892574</v>
      </c>
      <c r="C8" s="140">
        <f>SUM('5. sz.melléklet'!D21+'5. sz.melléklet'!D39)</f>
        <v>0</v>
      </c>
      <c r="D8" s="140">
        <f>SUM('5. sz.melléklet'!E39)</f>
        <v>10557</v>
      </c>
      <c r="E8" s="140"/>
      <c r="F8" s="140"/>
      <c r="G8" s="140"/>
      <c r="H8" s="140"/>
      <c r="I8" s="140"/>
      <c r="J8" s="140"/>
      <c r="K8" s="140"/>
      <c r="L8" s="343"/>
      <c r="M8" s="343"/>
      <c r="N8" s="343"/>
      <c r="O8" s="343"/>
      <c r="P8" s="343"/>
      <c r="Q8" s="350">
        <f t="shared" si="2"/>
        <v>676892574</v>
      </c>
      <c r="R8" s="350">
        <f>SUM(C8,F8,I8,L8,O8)</f>
        <v>0</v>
      </c>
      <c r="S8" s="652">
        <f t="shared" si="0"/>
        <v>10557</v>
      </c>
      <c r="T8" s="656" t="e">
        <f t="shared" si="1"/>
        <v>#DIV/0!</v>
      </c>
    </row>
    <row r="9" spans="1:20" x14ac:dyDescent="0.25">
      <c r="A9" s="12" t="s">
        <v>102</v>
      </c>
      <c r="B9" s="140">
        <f>SUM('5. sz.melléklet'!C44)</f>
        <v>217933000</v>
      </c>
      <c r="C9" s="140">
        <f>SUM('5. sz.melléklet'!D44)</f>
        <v>6224135</v>
      </c>
      <c r="D9" s="140" t="e">
        <f>SUM('5. sz.melléklet'!#REF!)</f>
        <v>#REF!</v>
      </c>
      <c r="E9" s="140"/>
      <c r="F9" s="140"/>
      <c r="G9" s="140"/>
      <c r="H9" s="140"/>
      <c r="I9" s="140"/>
      <c r="J9" s="140"/>
      <c r="K9" s="140"/>
      <c r="L9" s="343"/>
      <c r="M9" s="343"/>
      <c r="N9" s="343"/>
      <c r="O9" s="343"/>
      <c r="P9" s="343"/>
      <c r="Q9" s="350">
        <f t="shared" si="2"/>
        <v>217933000</v>
      </c>
      <c r="R9" s="350">
        <f>SUM(C9,F9,I9,L9,O9)</f>
        <v>6224135</v>
      </c>
      <c r="S9" s="652" t="e">
        <f t="shared" si="0"/>
        <v>#REF!</v>
      </c>
      <c r="T9" s="656" t="e">
        <f t="shared" si="1"/>
        <v>#REF!</v>
      </c>
    </row>
    <row r="10" spans="1:20" x14ac:dyDescent="0.25">
      <c r="A10" s="495" t="s">
        <v>301</v>
      </c>
      <c r="B10" s="140"/>
      <c r="C10" s="140"/>
      <c r="D10" s="140">
        <f>SUM('5. sz.melléklet'!E28)</f>
        <v>81</v>
      </c>
      <c r="E10" s="140">
        <f>SUM('13.sz.melléklet'!F38)</f>
        <v>0</v>
      </c>
      <c r="F10" s="140"/>
      <c r="G10" s="140">
        <f>SUM('13.sz.melléklet'!F40)</f>
        <v>519</v>
      </c>
      <c r="H10" s="140">
        <f>SUM('14.sz.melléklet'!D46)</f>
        <v>0</v>
      </c>
      <c r="I10" s="140"/>
      <c r="J10" s="140">
        <f>SUM('14.sz.melléklet'!D48)</f>
        <v>40</v>
      </c>
      <c r="K10" s="140">
        <f>SUM('15.sz.melléklet'!E38)</f>
        <v>1300000</v>
      </c>
      <c r="L10" s="343"/>
      <c r="M10" s="343">
        <f>SUM('15.sz.melléklet'!E40)</f>
        <v>1617</v>
      </c>
      <c r="N10" s="343">
        <f>SUM('16.sz. melléklet'!E42)</f>
        <v>0</v>
      </c>
      <c r="O10" s="343"/>
      <c r="P10" s="343"/>
      <c r="Q10" s="350">
        <f t="shared" si="2"/>
        <v>1300000</v>
      </c>
      <c r="R10" s="350">
        <f>SUM(I10)</f>
        <v>0</v>
      </c>
      <c r="S10" s="652">
        <f t="shared" si="0"/>
        <v>2257</v>
      </c>
      <c r="T10" s="656"/>
    </row>
    <row r="11" spans="1:20" x14ac:dyDescent="0.25">
      <c r="A11" s="12" t="s">
        <v>221</v>
      </c>
      <c r="B11" s="140">
        <f>SUM('5. sz.melléklet'!C27+'5. sz.melléklet'!C34)</f>
        <v>95382000</v>
      </c>
      <c r="C11" s="140">
        <f>SUM('5. sz.melléklet'!D27+'5. sz.melléklet'!D29)</f>
        <v>352494111</v>
      </c>
      <c r="D11" s="140" t="e">
        <f>SUM('5. sz.melléklet'!#REF!+'5. sz.melléklet'!E30)</f>
        <v>#REF!</v>
      </c>
      <c r="E11" s="140"/>
      <c r="F11" s="140"/>
      <c r="G11" s="140"/>
      <c r="H11" s="140"/>
      <c r="I11" s="140"/>
      <c r="J11" s="140"/>
      <c r="K11" s="140"/>
      <c r="L11" s="343"/>
      <c r="M11" s="343"/>
      <c r="N11" s="343"/>
      <c r="O11" s="343"/>
      <c r="P11" s="343"/>
      <c r="Q11" s="350">
        <f t="shared" si="2"/>
        <v>95382000</v>
      </c>
      <c r="R11" s="350">
        <f>SUM(C11,F11,I11,L11,O11)</f>
        <v>352494111</v>
      </c>
      <c r="S11" s="652" t="e">
        <f t="shared" si="0"/>
        <v>#REF!</v>
      </c>
      <c r="T11" s="656" t="e">
        <f t="shared" si="1"/>
        <v>#REF!</v>
      </c>
    </row>
    <row r="12" spans="1:20" ht="13.2" thickBot="1" x14ac:dyDescent="0.3">
      <c r="A12" s="135" t="s">
        <v>302</v>
      </c>
      <c r="B12" s="141">
        <f>SUM('5. sz.melléklet'!C51)</f>
        <v>400000000</v>
      </c>
      <c r="C12" s="141">
        <f>SUM('5. sz.melléklet'!D51)</f>
        <v>100276141</v>
      </c>
      <c r="D12" s="141" t="e">
        <f>SUM('5. sz.melléklet'!E52+'5. sz.melléklet'!E53+'5. sz.melléklet'!E54)</f>
        <v>#REF!</v>
      </c>
      <c r="E12" s="140">
        <f>SUM('13.sz.melléklet'!E38)</f>
        <v>128943000</v>
      </c>
      <c r="F12" s="140">
        <f>'13.sz.melléklet'!E35+183</f>
        <v>115708471</v>
      </c>
      <c r="G12" s="140">
        <f>SUM('13.sz.melléklet'!E40)</f>
        <v>95289</v>
      </c>
      <c r="H12" s="140">
        <f>SUM('14.sz.melléklet'!E46)</f>
        <v>198255000</v>
      </c>
      <c r="I12" s="140">
        <f>'14.sz.melléklet'!E31+1</f>
        <v>192746175</v>
      </c>
      <c r="J12" s="140">
        <f>SUM('14.sz.melléklet'!E48)</f>
        <v>88212</v>
      </c>
      <c r="K12" s="140">
        <f>SUM('15.sz.melléklet'!D38)</f>
        <v>58852000</v>
      </c>
      <c r="L12" s="343">
        <f>'15.sz.melléklet'!D27</f>
        <v>58018459</v>
      </c>
      <c r="M12" s="343">
        <f>SUM('15.sz.melléklet'!D40)</f>
        <v>31196</v>
      </c>
      <c r="N12" s="343">
        <f>SUM('16.sz. melléklet'!D42)</f>
        <v>65413000</v>
      </c>
      <c r="O12" s="363">
        <f>'16.sz. melléklet'!D35</f>
        <v>65661861</v>
      </c>
      <c r="P12" s="453">
        <f>SUM('16.sz. melléklet'!D44)</f>
        <v>66464</v>
      </c>
      <c r="Q12" s="351">
        <f t="shared" si="2"/>
        <v>851463000</v>
      </c>
      <c r="R12" s="351">
        <f>SUM(C12,F12,I12,L12,O12)</f>
        <v>532411107</v>
      </c>
      <c r="S12" s="653" t="e">
        <f t="shared" si="0"/>
        <v>#REF!</v>
      </c>
      <c r="T12" s="657" t="e">
        <f t="shared" si="1"/>
        <v>#REF!</v>
      </c>
    </row>
    <row r="13" spans="1:20" ht="13.2" thickBot="1" x14ac:dyDescent="0.3">
      <c r="A13" s="279" t="s">
        <v>141</v>
      </c>
      <c r="B13" s="142">
        <f t="shared" ref="B13:G13" si="3">SUM(B5:B12)</f>
        <v>2210527663</v>
      </c>
      <c r="C13" s="142" t="e">
        <f t="shared" si="3"/>
        <v>#REF!</v>
      </c>
      <c r="D13" s="142" t="e">
        <f t="shared" si="3"/>
        <v>#REF!</v>
      </c>
      <c r="E13" s="142">
        <f t="shared" si="3"/>
        <v>139123000</v>
      </c>
      <c r="F13" s="142">
        <f t="shared" si="3"/>
        <v>125889598</v>
      </c>
      <c r="G13" s="142">
        <f t="shared" si="3"/>
        <v>104598</v>
      </c>
      <c r="H13" s="142">
        <f>SUM(H6:H12)</f>
        <v>201153000</v>
      </c>
      <c r="I13" s="142">
        <f>SUM(I5:I12)</f>
        <v>195644175</v>
      </c>
      <c r="J13" s="142">
        <f>SUM(J5:J12)</f>
        <v>97495</v>
      </c>
      <c r="K13" s="142">
        <f>SUM(K6:K12)</f>
        <v>67007000</v>
      </c>
      <c r="L13" s="345">
        <f>SUM(L5:L12)</f>
        <v>64873459</v>
      </c>
      <c r="M13" s="345">
        <f>SUM(M5:M12)</f>
        <v>36735</v>
      </c>
      <c r="N13" s="345">
        <f>SUM(N6:N12)</f>
        <v>65680000</v>
      </c>
      <c r="O13" s="357">
        <f>SUM(O5:O12)</f>
        <v>65661861</v>
      </c>
      <c r="P13" s="357">
        <f>SUM(P5:P12)</f>
        <v>66987</v>
      </c>
      <c r="Q13" s="2341">
        <f>SUM(Q5:Q12)</f>
        <v>2683490663</v>
      </c>
      <c r="R13" s="649" t="e">
        <f>SUM(R5:R12)</f>
        <v>#REF!</v>
      </c>
      <c r="S13" s="654" t="e">
        <f t="shared" si="0"/>
        <v>#REF!</v>
      </c>
      <c r="T13" s="658" t="e">
        <f t="shared" si="1"/>
        <v>#REF!</v>
      </c>
    </row>
    <row r="14" spans="1:20" ht="13.2" thickBot="1" x14ac:dyDescent="0.3">
      <c r="B14" s="293"/>
      <c r="C14" s="293"/>
      <c r="D14" s="293"/>
      <c r="E14" s="293"/>
      <c r="F14" s="293"/>
      <c r="G14" s="293"/>
      <c r="H14" s="293"/>
      <c r="I14" s="293"/>
      <c r="J14" s="293"/>
      <c r="K14" s="293"/>
      <c r="L14" s="293"/>
      <c r="M14" s="293"/>
      <c r="N14" s="346"/>
      <c r="O14" s="358"/>
      <c r="P14" s="358"/>
      <c r="Q14" s="360"/>
      <c r="R14" s="360"/>
      <c r="S14" s="651"/>
      <c r="T14" s="658"/>
    </row>
    <row r="15" spans="1:20" ht="15.75" customHeight="1" thickBot="1" x14ac:dyDescent="0.4">
      <c r="A15" s="569" t="s">
        <v>484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348"/>
      <c r="O15" s="348"/>
      <c r="P15" s="348"/>
      <c r="Q15" s="361">
        <f>Q13-E12-H12-K12-N12</f>
        <v>2232027663</v>
      </c>
      <c r="R15" s="650" t="e">
        <f>R13-F12-I12-L12-O12+184</f>
        <v>#REF!</v>
      </c>
      <c r="S15" s="650" t="e">
        <f>S13-G12-J12-M12-P12+1-380</f>
        <v>#REF!</v>
      </c>
      <c r="T15" s="709" t="e">
        <f t="shared" si="1"/>
        <v>#REF!</v>
      </c>
    </row>
    <row r="16" spans="1:20" ht="41.25" customHeight="1" thickBot="1" x14ac:dyDescent="0.4">
      <c r="A16" s="1109" t="s">
        <v>485</v>
      </c>
      <c r="B16" s="2485" t="s">
        <v>119</v>
      </c>
      <c r="C16" s="2486"/>
      <c r="D16" s="2487"/>
      <c r="E16" s="2488" t="s">
        <v>121</v>
      </c>
      <c r="F16" s="2489"/>
      <c r="G16" s="2490"/>
      <c r="H16" s="2488" t="s">
        <v>122</v>
      </c>
      <c r="I16" s="2489"/>
      <c r="J16" s="2490"/>
      <c r="K16" s="2488" t="s">
        <v>183</v>
      </c>
      <c r="L16" s="2491"/>
      <c r="M16" s="2492"/>
      <c r="N16" s="2485" t="s">
        <v>120</v>
      </c>
      <c r="O16" s="2493"/>
      <c r="P16" s="2494"/>
      <c r="Q16" s="2495" t="s">
        <v>346</v>
      </c>
      <c r="R16" s="2496"/>
      <c r="S16" s="2496"/>
    </row>
    <row r="17" spans="1:22" ht="41.25" customHeight="1" x14ac:dyDescent="0.35">
      <c r="A17" s="341"/>
      <c r="B17" s="134" t="s">
        <v>353</v>
      </c>
      <c r="C17" s="134" t="s">
        <v>354</v>
      </c>
      <c r="D17" s="590" t="s">
        <v>355</v>
      </c>
      <c r="E17" s="134" t="s">
        <v>353</v>
      </c>
      <c r="F17" s="134" t="s">
        <v>354</v>
      </c>
      <c r="G17" s="590" t="s">
        <v>355</v>
      </c>
      <c r="H17" s="134" t="s">
        <v>353</v>
      </c>
      <c r="I17" s="134" t="s">
        <v>354</v>
      </c>
      <c r="J17" s="590" t="s">
        <v>355</v>
      </c>
      <c r="K17" s="134" t="s">
        <v>353</v>
      </c>
      <c r="L17" s="134" t="s">
        <v>354</v>
      </c>
      <c r="M17" s="590" t="s">
        <v>355</v>
      </c>
      <c r="N17" s="134" t="s">
        <v>353</v>
      </c>
      <c r="O17" s="134" t="s">
        <v>354</v>
      </c>
      <c r="P17" s="590" t="s">
        <v>355</v>
      </c>
      <c r="Q17" s="134" t="s">
        <v>353</v>
      </c>
      <c r="R17" s="134" t="s">
        <v>354</v>
      </c>
      <c r="S17" s="591"/>
      <c r="T17" s="593"/>
    </row>
    <row r="18" spans="1:22" x14ac:dyDescent="0.25">
      <c r="A18" s="12" t="s">
        <v>9</v>
      </c>
      <c r="B18" s="140">
        <f>SUM('6. sz.melléklet'!C132)</f>
        <v>47666000</v>
      </c>
      <c r="C18" s="489">
        <f>'6. sz.melléklet'!C133</f>
        <v>47666108</v>
      </c>
      <c r="D18" s="140" t="e">
        <f>SUM('6. sz.melléklet'!C134)</f>
        <v>#REF!</v>
      </c>
      <c r="E18" s="140">
        <f>SUM('13.sz.melléklet'!C19)</f>
        <v>81909000</v>
      </c>
      <c r="F18" s="140">
        <f>'13.sz.melléklet'!C20</f>
        <v>73858905</v>
      </c>
      <c r="G18" s="140">
        <f>SUM('13.sz.melléklet'!C21)</f>
        <v>62412</v>
      </c>
      <c r="H18" s="140">
        <f>SUM('14.sz.melléklet'!C23)</f>
        <v>121916000</v>
      </c>
      <c r="I18" s="140">
        <f>'14.sz.melléklet'!C24</f>
        <v>117402138</v>
      </c>
      <c r="J18" s="140">
        <f>SUM('14.sz.melléklet'!C25)</f>
        <v>58463</v>
      </c>
      <c r="K18" s="140">
        <f>SUM('15.sz.melléklet'!C19)</f>
        <v>28137000</v>
      </c>
      <c r="L18" s="343">
        <f>'15.sz.melléklet'!C20</f>
        <v>28137021</v>
      </c>
      <c r="M18" s="343">
        <f>SUM('15.sz.melléklet'!C21)</f>
        <v>15711</v>
      </c>
      <c r="N18" s="343">
        <f>SUM('16.sz. melléklet'!C23)</f>
        <v>41203000</v>
      </c>
      <c r="O18" s="343">
        <f>'16.sz. melléklet'!C24</f>
        <v>41210382</v>
      </c>
      <c r="P18" s="343">
        <f>SUM('16.sz. melléklet'!C25)</f>
        <v>35111</v>
      </c>
      <c r="Q18" s="350">
        <f t="shared" ref="Q18:Q28" si="4">SUM(B18,E18,H18,K18,N18)</f>
        <v>320831000</v>
      </c>
      <c r="R18" s="350">
        <f t="shared" ref="R18:R28" si="5">SUM(C18,F18,I18,L18,O18)</f>
        <v>308274554</v>
      </c>
      <c r="S18" s="655" t="e">
        <f>SUM(D18+G18+J18+M18+P18)</f>
        <v>#REF!</v>
      </c>
      <c r="T18" s="656" t="e">
        <f>SUM(S18/R18)</f>
        <v>#REF!</v>
      </c>
    </row>
    <row r="19" spans="1:22" x14ac:dyDescent="0.25">
      <c r="A19" s="12" t="s">
        <v>303</v>
      </c>
      <c r="B19" s="140">
        <f>SUM('6. sz.melléklet'!D132)</f>
        <v>11771000</v>
      </c>
      <c r="C19" s="140">
        <f>'6. sz.melléklet'!D133</f>
        <v>11771029</v>
      </c>
      <c r="D19" s="140" t="e">
        <f>SUM('6. sz.melléklet'!D134)</f>
        <v>#REF!</v>
      </c>
      <c r="E19" s="140">
        <f>SUM('13.sz.melléklet'!D19)</f>
        <v>17843000</v>
      </c>
      <c r="F19" s="140">
        <f>'13.sz.melléklet'!D20</f>
        <v>16176270</v>
      </c>
      <c r="G19" s="140">
        <f>SUM('13.sz.melléklet'!D21)</f>
        <v>17872</v>
      </c>
      <c r="H19" s="140">
        <f>SUM('14.sz.melléklet'!D23)</f>
        <v>25622000</v>
      </c>
      <c r="I19" s="140">
        <f>'14.sz.melléklet'!D24</f>
        <v>24707037</v>
      </c>
      <c r="J19" s="140">
        <f>SUM('14.sz.melléklet'!D25)</f>
        <v>16570</v>
      </c>
      <c r="K19" s="140">
        <f>SUM('15.sz.melléklet'!D19)</f>
        <v>7220000</v>
      </c>
      <c r="L19" s="343">
        <f>'15.sz.melléklet'!D20</f>
        <v>7220005</v>
      </c>
      <c r="M19" s="343">
        <f>SUM('15.sz.melléklet'!D21)</f>
        <v>4745</v>
      </c>
      <c r="N19" s="343">
        <f>SUM('16.sz. melléklet'!D23)</f>
        <v>8437000</v>
      </c>
      <c r="O19" s="343">
        <f>'16.sz. melléklet'!D24</f>
        <v>8438032</v>
      </c>
      <c r="P19" s="343">
        <f>SUM('16.sz. melléklet'!D25)</f>
        <v>9063</v>
      </c>
      <c r="Q19" s="350">
        <f t="shared" si="4"/>
        <v>70893000</v>
      </c>
      <c r="R19" s="350">
        <f t="shared" si="5"/>
        <v>68312373</v>
      </c>
      <c r="S19" s="655" t="e">
        <f t="shared" ref="S19:S29" si="6">SUM(D19+G19+J19+M19+P19)</f>
        <v>#REF!</v>
      </c>
      <c r="T19" s="656" t="e">
        <f t="shared" ref="T19:T31" si="7">SUM(S19/R19)</f>
        <v>#REF!</v>
      </c>
    </row>
    <row r="20" spans="1:22" x14ac:dyDescent="0.25">
      <c r="A20" s="12" t="s">
        <v>20</v>
      </c>
      <c r="B20" s="140">
        <f>SUM('6. sz.melléklet'!E132)</f>
        <v>186435693</v>
      </c>
      <c r="C20" s="140">
        <f>'6. sz.melléklet'!E133</f>
        <v>120146892</v>
      </c>
      <c r="D20" s="140" t="e">
        <f>SUM('6. sz.melléklet'!E134)</f>
        <v>#REF!</v>
      </c>
      <c r="E20" s="140">
        <f>SUM('13.sz.melléklet'!E19)</f>
        <v>34622000</v>
      </c>
      <c r="F20" s="140">
        <f>'13.sz.melléklet'!E20</f>
        <v>32105423</v>
      </c>
      <c r="G20" s="140">
        <f>SUM('13.sz.melléklet'!E21)</f>
        <v>20927</v>
      </c>
      <c r="H20" s="140">
        <f>SUM('14.sz.melléklet'!E23)</f>
        <v>47559000</v>
      </c>
      <c r="I20" s="140">
        <f>'14.sz.melléklet'!E24</f>
        <v>47559000</v>
      </c>
      <c r="J20" s="140">
        <f>SUM('14.sz.melléklet'!E25)</f>
        <v>20878</v>
      </c>
      <c r="K20" s="140">
        <f>SUM('15.sz.melléklet'!E19)</f>
        <v>27860000</v>
      </c>
      <c r="L20" s="343">
        <f>'15.sz.melléklet'!E20</f>
        <v>27406000</v>
      </c>
      <c r="M20" s="343">
        <f>SUM('15.sz.melléklet'!E21)</f>
        <v>13738</v>
      </c>
      <c r="N20" s="343">
        <f>SUM('16.sz. melléklet'!E23)</f>
        <v>14830000</v>
      </c>
      <c r="O20" s="343">
        <f>'16.sz. melléklet'!E24</f>
        <v>14803200</v>
      </c>
      <c r="P20" s="343">
        <f>SUM('16.sz. melléklet'!E25)</f>
        <v>20840</v>
      </c>
      <c r="Q20" s="350">
        <f t="shared" si="4"/>
        <v>311306693</v>
      </c>
      <c r="R20" s="350">
        <f t="shared" si="5"/>
        <v>242020515</v>
      </c>
      <c r="S20" s="655" t="e">
        <f t="shared" si="6"/>
        <v>#REF!</v>
      </c>
      <c r="T20" s="656" t="e">
        <f t="shared" si="7"/>
        <v>#REF!</v>
      </c>
    </row>
    <row r="21" spans="1:22" x14ac:dyDescent="0.25">
      <c r="A21" s="12" t="s">
        <v>227</v>
      </c>
      <c r="B21" s="140">
        <f>SUM('6. sz.melléklet'!F132)</f>
        <v>21848000</v>
      </c>
      <c r="C21" s="140">
        <f>'6. sz.melléklet'!F133</f>
        <v>21851762</v>
      </c>
      <c r="D21" s="140" t="e">
        <f>SUM('6. sz.melléklet'!F134)</f>
        <v>#REF!</v>
      </c>
      <c r="E21" s="140"/>
      <c r="F21" s="140"/>
      <c r="G21" s="140"/>
      <c r="H21" s="140"/>
      <c r="I21" s="140"/>
      <c r="J21" s="140"/>
      <c r="K21" s="140"/>
      <c r="L21" s="343"/>
      <c r="M21" s="343"/>
      <c r="N21" s="343"/>
      <c r="O21" s="343"/>
      <c r="P21" s="343"/>
      <c r="Q21" s="350">
        <f t="shared" si="4"/>
        <v>21848000</v>
      </c>
      <c r="R21" s="350">
        <f t="shared" si="5"/>
        <v>21851762</v>
      </c>
      <c r="S21" s="655" t="e">
        <f t="shared" si="6"/>
        <v>#REF!</v>
      </c>
      <c r="T21" s="656" t="e">
        <f t="shared" si="7"/>
        <v>#REF!</v>
      </c>
    </row>
    <row r="22" spans="1:22" x14ac:dyDescent="0.25">
      <c r="A22" s="12" t="s">
        <v>345</v>
      </c>
      <c r="B22" s="140">
        <f>SUM('6. sz.melléklet'!I132)</f>
        <v>111248760</v>
      </c>
      <c r="C22" s="140">
        <f>'6. sz.melléklet'!I133</f>
        <v>79862511</v>
      </c>
      <c r="D22" s="140" t="e">
        <f>SUM('6. sz.melléklet'!I134)</f>
        <v>#REF!</v>
      </c>
      <c r="E22" s="140"/>
      <c r="F22" s="140"/>
      <c r="G22" s="140"/>
      <c r="H22" s="140"/>
      <c r="I22" s="140"/>
      <c r="J22" s="140"/>
      <c r="K22" s="140"/>
      <c r="L22" s="343"/>
      <c r="M22" s="343"/>
      <c r="N22" s="343"/>
      <c r="O22" s="343"/>
      <c r="P22" s="343"/>
      <c r="Q22" s="350">
        <f t="shared" si="4"/>
        <v>111248760</v>
      </c>
      <c r="R22" s="350">
        <f t="shared" si="5"/>
        <v>79862511</v>
      </c>
      <c r="S22" s="655" t="e">
        <f t="shared" si="6"/>
        <v>#REF!</v>
      </c>
      <c r="T22" s="656" t="e">
        <f t="shared" si="7"/>
        <v>#REF!</v>
      </c>
    </row>
    <row r="23" spans="1:22" x14ac:dyDescent="0.25">
      <c r="A23" s="12" t="s">
        <v>124</v>
      </c>
      <c r="B23" s="140">
        <f>SUM('6. sz.melléklet'!H132)</f>
        <v>897562627</v>
      </c>
      <c r="C23" s="140">
        <f>'6. sz.melléklet'!H133</f>
        <v>445216190</v>
      </c>
      <c r="D23" s="140" t="e">
        <f>SUM('6. sz.melléklet'!H134)</f>
        <v>#REF!</v>
      </c>
      <c r="E23" s="140">
        <f>SUM('13.sz.melléklet'!F19)</f>
        <v>3749000</v>
      </c>
      <c r="F23" s="140">
        <f>'13.sz.melléklet'!F20</f>
        <v>3749000</v>
      </c>
      <c r="G23" s="140">
        <v>2852</v>
      </c>
      <c r="H23" s="140">
        <f>SUM('14.sz.melléklet'!F23)</f>
        <v>6056000</v>
      </c>
      <c r="I23" s="140">
        <f>SUM('14.a.sz. melléklet'!J18)</f>
        <v>5156000</v>
      </c>
      <c r="J23" s="140">
        <f>SUM('14.sz.melléklet'!F25)</f>
        <v>1521</v>
      </c>
      <c r="K23" s="140">
        <f>SUM('15.sz.melléklet'!F19)</f>
        <v>3790000</v>
      </c>
      <c r="L23" s="343">
        <f>SUM('15.a.sz.melléklet'!J12)</f>
        <v>2630433</v>
      </c>
      <c r="M23" s="343">
        <f>SUM('15.sz.melléklet'!F21)</f>
        <v>2187</v>
      </c>
      <c r="N23" s="343">
        <f>SUM('16.sz. melléklet'!F23)</f>
        <v>1210000</v>
      </c>
      <c r="O23" s="343">
        <f>SUM('16.a.sz. melléklet'!J10)</f>
        <v>960000</v>
      </c>
      <c r="P23" s="343">
        <f>SUM('16.sz. melléklet'!F25)</f>
        <v>999</v>
      </c>
      <c r="Q23" s="350">
        <f t="shared" si="4"/>
        <v>912367627</v>
      </c>
      <c r="R23" s="350">
        <f t="shared" si="5"/>
        <v>457711623</v>
      </c>
      <c r="S23" s="655" t="e">
        <f t="shared" si="6"/>
        <v>#REF!</v>
      </c>
      <c r="T23" s="656" t="e">
        <f t="shared" si="7"/>
        <v>#REF!</v>
      </c>
    </row>
    <row r="24" spans="1:22" x14ac:dyDescent="0.25">
      <c r="A24" s="12" t="s">
        <v>125</v>
      </c>
      <c r="B24" s="140">
        <f>SUM('6. sz.melléklet'!G132)</f>
        <v>294039503</v>
      </c>
      <c r="C24" s="140">
        <f>'6. sz.melléklet'!G133</f>
        <v>294038302</v>
      </c>
      <c r="D24" s="140" t="e">
        <f>SUM('6. sz.melléklet'!G134)</f>
        <v>#REF!</v>
      </c>
      <c r="E24" s="140">
        <f>SUM('13.sz.melléklet'!G19)</f>
        <v>1000000</v>
      </c>
      <c r="F24" s="140">
        <f>'13.sz.melléklet'!G20</f>
        <v>0</v>
      </c>
      <c r="G24" s="140"/>
      <c r="H24" s="140">
        <v>0</v>
      </c>
      <c r="I24" s="140">
        <f>SUM('14.a.sz. melléklet'!E18)</f>
        <v>0</v>
      </c>
      <c r="J24" s="140"/>
      <c r="K24" s="140">
        <v>0</v>
      </c>
      <c r="L24" s="343"/>
      <c r="M24" s="343"/>
      <c r="N24" s="343">
        <v>0</v>
      </c>
      <c r="O24" s="343"/>
      <c r="P24" s="343"/>
      <c r="Q24" s="350">
        <f t="shared" si="4"/>
        <v>295039503</v>
      </c>
      <c r="R24" s="350">
        <f t="shared" si="5"/>
        <v>294038302</v>
      </c>
      <c r="S24" s="655" t="e">
        <f t="shared" si="6"/>
        <v>#REF!</v>
      </c>
      <c r="T24" s="656" t="e">
        <f t="shared" si="7"/>
        <v>#REF!</v>
      </c>
    </row>
    <row r="25" spans="1:22" x14ac:dyDescent="0.25">
      <c r="A25" s="12" t="s">
        <v>338</v>
      </c>
      <c r="B25" s="140">
        <f>SUM('6. sz.melléklet'!J132)</f>
        <v>6127431</v>
      </c>
      <c r="C25" s="140">
        <f>'6. sz.melléklet'!J133</f>
        <v>6150195</v>
      </c>
      <c r="D25" s="140" t="e">
        <f>SUM('6. sz.melléklet'!J134)</f>
        <v>#REF!</v>
      </c>
      <c r="E25" s="140"/>
      <c r="F25" s="140"/>
      <c r="G25" s="140"/>
      <c r="H25" s="140"/>
      <c r="I25" s="140"/>
      <c r="J25" s="140"/>
      <c r="K25" s="140"/>
      <c r="L25" s="343"/>
      <c r="M25" s="343"/>
      <c r="N25" s="343"/>
      <c r="O25" s="343"/>
      <c r="P25" s="343"/>
      <c r="Q25" s="350">
        <f t="shared" si="4"/>
        <v>6127431</v>
      </c>
      <c r="R25" s="350">
        <f t="shared" si="5"/>
        <v>6150195</v>
      </c>
      <c r="S25" s="655" t="e">
        <f t="shared" si="6"/>
        <v>#REF!</v>
      </c>
      <c r="T25" s="656" t="e">
        <f t="shared" si="7"/>
        <v>#REF!</v>
      </c>
    </row>
    <row r="26" spans="1:22" x14ac:dyDescent="0.25">
      <c r="A26" s="12" t="s">
        <v>126</v>
      </c>
      <c r="B26" s="140">
        <f>SUM('6. sz.melléklet'!M132)</f>
        <v>552696365</v>
      </c>
      <c r="C26" s="140">
        <f>'6. sz.melléklet'!M133</f>
        <v>452854204</v>
      </c>
      <c r="D26" s="140" t="e">
        <f>SUM('6. sz.melléklet'!M134)</f>
        <v>#REF!</v>
      </c>
      <c r="E26" s="140"/>
      <c r="F26" s="140"/>
      <c r="G26" s="140"/>
      <c r="H26" s="140"/>
      <c r="I26" s="140"/>
      <c r="J26" s="140"/>
      <c r="K26" s="140"/>
      <c r="L26" s="343"/>
      <c r="M26" s="343"/>
      <c r="N26" s="343"/>
      <c r="O26" s="343"/>
      <c r="P26" s="343"/>
      <c r="Q26" s="350">
        <f t="shared" si="4"/>
        <v>552696365</v>
      </c>
      <c r="R26" s="350">
        <f t="shared" si="5"/>
        <v>452854204</v>
      </c>
      <c r="S26" s="655" t="e">
        <f t="shared" si="6"/>
        <v>#REF!</v>
      </c>
      <c r="T26" s="656" t="e">
        <f t="shared" si="7"/>
        <v>#REF!</v>
      </c>
    </row>
    <row r="27" spans="1:22" x14ac:dyDescent="0.25">
      <c r="A27" s="12" t="s">
        <v>127</v>
      </c>
      <c r="B27" s="140">
        <f>SUM('6. sz.melléklet'!K6)</f>
        <v>3461428</v>
      </c>
      <c r="C27" s="140">
        <f>'6. sz.melléklet'!K133</f>
        <v>42432</v>
      </c>
      <c r="D27" s="140" t="e">
        <f>SUM('6. sz.melléklet'!K134)</f>
        <v>#REF!</v>
      </c>
      <c r="E27" s="140"/>
      <c r="F27" s="140"/>
      <c r="G27" s="140"/>
      <c r="H27" s="140"/>
      <c r="I27" s="140"/>
      <c r="J27" s="140"/>
      <c r="K27" s="140"/>
      <c r="L27" s="343"/>
      <c r="M27" s="343"/>
      <c r="N27" s="343"/>
      <c r="O27" s="343"/>
      <c r="P27" s="343"/>
      <c r="Q27" s="350">
        <f t="shared" si="4"/>
        <v>3461428</v>
      </c>
      <c r="R27" s="350">
        <f t="shared" si="5"/>
        <v>42432</v>
      </c>
      <c r="S27" s="655" t="e">
        <f t="shared" si="6"/>
        <v>#REF!</v>
      </c>
      <c r="T27" s="656" t="e">
        <f t="shared" si="7"/>
        <v>#REF!</v>
      </c>
    </row>
    <row r="28" spans="1:22" ht="13.2" thickBot="1" x14ac:dyDescent="0.3">
      <c r="A28" s="135" t="s">
        <v>128</v>
      </c>
      <c r="B28" s="141">
        <f>SUM('6. sz.melléklet'!L10)</f>
        <v>77670856</v>
      </c>
      <c r="C28" s="141">
        <f>'6. sz.melléklet'!L133</f>
        <v>20400</v>
      </c>
      <c r="D28" s="141" t="e">
        <f>SUM('6. sz.melléklet'!L134)</f>
        <v>#REF!</v>
      </c>
      <c r="E28" s="141"/>
      <c r="F28" s="141"/>
      <c r="G28" s="141"/>
      <c r="H28" s="141"/>
      <c r="I28" s="141"/>
      <c r="J28" s="141"/>
      <c r="K28" s="141"/>
      <c r="L28" s="347"/>
      <c r="M28" s="347"/>
      <c r="N28" s="347"/>
      <c r="O28" s="363"/>
      <c r="P28" s="363"/>
      <c r="Q28" s="351">
        <f t="shared" si="4"/>
        <v>77670856</v>
      </c>
      <c r="R28" s="351">
        <f t="shared" si="5"/>
        <v>20400</v>
      </c>
      <c r="S28" s="655" t="e">
        <f t="shared" si="6"/>
        <v>#REF!</v>
      </c>
      <c r="T28" s="657" t="e">
        <f t="shared" si="7"/>
        <v>#REF!</v>
      </c>
      <c r="V28" s="1402">
        <f>SUM(B18:B28)</f>
        <v>2210527663</v>
      </c>
    </row>
    <row r="29" spans="1:22" ht="13.5" customHeight="1" thickBot="1" x14ac:dyDescent="0.3">
      <c r="A29" s="279" t="s">
        <v>142</v>
      </c>
      <c r="B29" s="142">
        <f t="shared" ref="B29:R29" si="8">SUM(B18:B28)</f>
        <v>2210527663</v>
      </c>
      <c r="C29" s="142">
        <f t="shared" si="8"/>
        <v>1479620025</v>
      </c>
      <c r="D29" s="142" t="e">
        <f t="shared" si="8"/>
        <v>#REF!</v>
      </c>
      <c r="E29" s="142">
        <f t="shared" si="8"/>
        <v>139123000</v>
      </c>
      <c r="F29" s="142">
        <f t="shared" si="8"/>
        <v>125889598</v>
      </c>
      <c r="G29" s="142">
        <f t="shared" si="8"/>
        <v>104063</v>
      </c>
      <c r="H29" s="142">
        <f t="shared" si="8"/>
        <v>201153000</v>
      </c>
      <c r="I29" s="142">
        <f t="shared" si="8"/>
        <v>194824175</v>
      </c>
      <c r="J29" s="142">
        <f t="shared" si="8"/>
        <v>97432</v>
      </c>
      <c r="K29" s="142">
        <f t="shared" si="8"/>
        <v>67007000</v>
      </c>
      <c r="L29" s="345">
        <f t="shared" si="8"/>
        <v>65393459</v>
      </c>
      <c r="M29" s="345">
        <f t="shared" si="8"/>
        <v>36381</v>
      </c>
      <c r="N29" s="345">
        <f t="shared" si="8"/>
        <v>65680000</v>
      </c>
      <c r="O29" s="357">
        <f t="shared" si="8"/>
        <v>65411614</v>
      </c>
      <c r="P29" s="357">
        <f t="shared" si="8"/>
        <v>66013</v>
      </c>
      <c r="Q29" s="364">
        <f t="shared" si="8"/>
        <v>2683490663</v>
      </c>
      <c r="R29" s="142">
        <f t="shared" si="8"/>
        <v>1931138871</v>
      </c>
      <c r="S29" s="655" t="e">
        <f t="shared" si="6"/>
        <v>#REF!</v>
      </c>
      <c r="T29" s="658" t="e">
        <f t="shared" si="7"/>
        <v>#REF!</v>
      </c>
    </row>
    <row r="30" spans="1:22" ht="13.2" thickBot="1" x14ac:dyDescent="0.3">
      <c r="B30" s="293"/>
      <c r="C30" s="293"/>
      <c r="D30" s="293"/>
      <c r="E30" s="293"/>
      <c r="F30" s="293"/>
      <c r="G30" s="293"/>
      <c r="H30" s="293"/>
      <c r="I30" s="293"/>
      <c r="J30" s="293"/>
      <c r="K30" s="293"/>
      <c r="L30" s="293"/>
      <c r="M30" s="293"/>
      <c r="N30" s="346"/>
      <c r="O30" s="358"/>
      <c r="P30" s="358"/>
      <c r="Q30" s="142"/>
      <c r="R30" s="142"/>
      <c r="S30" s="280"/>
      <c r="T30" s="658"/>
    </row>
    <row r="31" spans="1:22" ht="16.2" thickBot="1" x14ac:dyDescent="0.4">
      <c r="A31" s="569" t="s">
        <v>486</v>
      </c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44"/>
      <c r="N31" s="348"/>
      <c r="O31" s="348"/>
      <c r="P31" s="348"/>
      <c r="Q31" s="361">
        <f>SUM(Q29-E12-H12-K12-N12)</f>
        <v>2232027663</v>
      </c>
      <c r="R31" s="362">
        <f>R29-F12-I12-L12-O12+184</f>
        <v>1499004089</v>
      </c>
      <c r="S31" s="362" t="e">
        <f>S29-G12-J12-M12-P12+1-380</f>
        <v>#REF!</v>
      </c>
      <c r="T31" s="709" t="e">
        <f t="shared" si="7"/>
        <v>#REF!</v>
      </c>
    </row>
  </sheetData>
  <mergeCells count="13">
    <mergeCell ref="A1:N1"/>
    <mergeCell ref="B3:D3"/>
    <mergeCell ref="E3:G3"/>
    <mergeCell ref="H3:J3"/>
    <mergeCell ref="K3:M3"/>
    <mergeCell ref="N3:P3"/>
    <mergeCell ref="Q3:S3"/>
    <mergeCell ref="B16:D16"/>
    <mergeCell ref="E16:G16"/>
    <mergeCell ref="H16:J16"/>
    <mergeCell ref="K16:M16"/>
    <mergeCell ref="N16:P16"/>
    <mergeCell ref="Q16:S16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89" orientation="landscape" r:id="rId1"/>
  <headerFooter alignWithMargins="0">
    <oddHeader>&amp;A</oddHeader>
  </headerFooter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22"/>
  <sheetViews>
    <sheetView workbookViewId="0">
      <selection sqref="A1:B23"/>
    </sheetView>
  </sheetViews>
  <sheetFormatPr defaultRowHeight="12.6" x14ac:dyDescent="0.25"/>
  <cols>
    <col min="1" max="1" width="54.5546875" style="1" customWidth="1"/>
    <col min="2" max="2" width="29.33203125" customWidth="1"/>
  </cols>
  <sheetData>
    <row r="2" spans="1:2" s="10" customFormat="1" ht="48" customHeight="1" x14ac:dyDescent="0.35">
      <c r="A2" s="2529" t="s">
        <v>514</v>
      </c>
      <c r="B2" s="2530"/>
    </row>
    <row r="3" spans="1:2" ht="0.75" customHeight="1" x14ac:dyDescent="0.35">
      <c r="A3" s="31" t="s">
        <v>153</v>
      </c>
      <c r="B3" s="31"/>
    </row>
    <row r="4" spans="1:2" s="1" customFormat="1" ht="0.75" customHeight="1" x14ac:dyDescent="0.25">
      <c r="A4"/>
      <c r="B4"/>
    </row>
    <row r="5" spans="1:2" ht="0.75" customHeight="1" thickBot="1" x14ac:dyDescent="0.3">
      <c r="A5"/>
      <c r="B5" s="1"/>
    </row>
    <row r="6" spans="1:2" ht="15" hidden="1" customHeight="1" thickBot="1" x14ac:dyDescent="0.3">
      <c r="A6"/>
      <c r="B6" s="1"/>
    </row>
    <row r="7" spans="1:2" ht="27.75" customHeight="1" x14ac:dyDescent="0.25">
      <c r="A7" s="294" t="s">
        <v>207</v>
      </c>
      <c r="B7" s="295" t="s">
        <v>208</v>
      </c>
    </row>
    <row r="8" spans="1:2" ht="15" customHeight="1" x14ac:dyDescent="0.25">
      <c r="A8" s="135"/>
      <c r="B8" s="298"/>
    </row>
    <row r="9" spans="1:2" ht="6" customHeight="1" x14ac:dyDescent="0.25">
      <c r="A9" s="296"/>
      <c r="B9" s="299"/>
    </row>
    <row r="10" spans="1:2" ht="15" customHeight="1" x14ac:dyDescent="0.25">
      <c r="A10" s="296"/>
      <c r="B10" s="299"/>
    </row>
    <row r="11" spans="1:2" ht="15" customHeight="1" x14ac:dyDescent="0.3">
      <c r="A11" s="301" t="s">
        <v>30</v>
      </c>
      <c r="B11" s="11"/>
    </row>
    <row r="12" spans="1:2" ht="3" customHeight="1" x14ac:dyDescent="0.25">
      <c r="A12" s="296"/>
      <c r="B12" s="299"/>
    </row>
    <row r="13" spans="1:2" ht="3" customHeight="1" x14ac:dyDescent="0.25">
      <c r="A13" s="296" t="s">
        <v>60</v>
      </c>
      <c r="B13" s="299"/>
    </row>
    <row r="14" spans="1:2" ht="6" customHeight="1" x14ac:dyDescent="0.25">
      <c r="A14" s="296"/>
      <c r="B14" s="299"/>
    </row>
    <row r="15" spans="1:2" ht="15" customHeight="1" x14ac:dyDescent="0.3">
      <c r="A15" s="301" t="s">
        <v>56</v>
      </c>
      <c r="B15" s="11"/>
    </row>
    <row r="16" spans="1:2" ht="6" customHeight="1" x14ac:dyDescent="0.25">
      <c r="A16" s="296"/>
      <c r="B16" s="299"/>
    </row>
    <row r="17" spans="1:2" ht="15.6" x14ac:dyDescent="0.3">
      <c r="A17" s="302" t="s">
        <v>170</v>
      </c>
      <c r="B17" s="11"/>
    </row>
    <row r="18" spans="1:2" ht="6" customHeight="1" x14ac:dyDescent="0.25">
      <c r="A18" s="297"/>
      <c r="B18" s="300"/>
    </row>
    <row r="19" spans="1:2" ht="15.6" x14ac:dyDescent="0.3">
      <c r="A19" s="303" t="s">
        <v>115</v>
      </c>
      <c r="B19" s="304"/>
    </row>
    <row r="20" spans="1:2" x14ac:dyDescent="0.25">
      <c r="A20" s="305" t="s">
        <v>67</v>
      </c>
      <c r="B20" s="14">
        <v>8</v>
      </c>
    </row>
    <row r="21" spans="1:2" ht="6" customHeight="1" x14ac:dyDescent="0.25">
      <c r="A21" s="296"/>
      <c r="B21" s="299"/>
    </row>
    <row r="22" spans="1:2" ht="15" customHeight="1" x14ac:dyDescent="0.25">
      <c r="A22" s="306" t="s">
        <v>7</v>
      </c>
      <c r="B22" s="11">
        <f>SUM(B10:B21)</f>
        <v>8</v>
      </c>
    </row>
  </sheetData>
  <mergeCells count="1">
    <mergeCell ref="A2:B2"/>
  </mergeCells>
  <phoneticPr fontId="3" type="noConversion"/>
  <printOptions horizontalCentered="1"/>
  <pageMargins left="0.39370078740157483" right="0.19685039370078741" top="0.98425196850393704" bottom="0.98425196850393704" header="0.59055118110236227" footer="0.51181102362204722"/>
  <pageSetup paperSize="9" orientation="portrait" r:id="rId1"/>
  <headerFooter alignWithMargins="0">
    <oddHeader>&amp;A</oddHeader>
    <oddFooter>&amp;P. oldal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9">
    <pageSetUpPr fitToPage="1"/>
  </sheetPr>
  <dimension ref="A1:M89"/>
  <sheetViews>
    <sheetView topLeftCell="A25" workbookViewId="0">
      <selection sqref="A1:H86"/>
    </sheetView>
  </sheetViews>
  <sheetFormatPr defaultRowHeight="12.6" x14ac:dyDescent="0.25"/>
  <cols>
    <col min="1" max="1" width="12.5546875" customWidth="1"/>
    <col min="2" max="2" width="25.109375" customWidth="1"/>
    <col min="3" max="8" width="15.6640625" customWidth="1"/>
    <col min="10" max="10" width="10.5546875" bestFit="1" customWidth="1"/>
  </cols>
  <sheetData>
    <row r="1" spans="1:13" ht="33.75" customHeight="1" thickBot="1" x14ac:dyDescent="0.4">
      <c r="A1" s="2553" t="s">
        <v>566</v>
      </c>
      <c r="B1" s="2584"/>
      <c r="C1" s="2584"/>
      <c r="D1" s="2584"/>
      <c r="E1" s="2584"/>
      <c r="F1" s="2584"/>
      <c r="G1" s="2584"/>
      <c r="H1" s="2613"/>
    </row>
    <row r="2" spans="1:13" ht="0.75" customHeight="1" x14ac:dyDescent="0.35">
      <c r="A2" s="30"/>
      <c r="B2" s="30"/>
    </row>
    <row r="3" spans="1:13" ht="0.75" customHeight="1" x14ac:dyDescent="0.25"/>
    <row r="4" spans="1:13" ht="0.75" customHeight="1" thickBot="1" x14ac:dyDescent="0.3"/>
    <row r="5" spans="1:13" ht="30.75" customHeight="1" x14ac:dyDescent="0.25">
      <c r="A5" s="310" t="s">
        <v>229</v>
      </c>
      <c r="B5" s="191" t="s">
        <v>92</v>
      </c>
      <c r="C5" s="192" t="s">
        <v>57</v>
      </c>
      <c r="D5" s="192" t="s">
        <v>90</v>
      </c>
      <c r="E5" s="192" t="s">
        <v>91</v>
      </c>
      <c r="F5" s="192" t="s">
        <v>319</v>
      </c>
      <c r="G5" s="448" t="s">
        <v>378</v>
      </c>
      <c r="H5" s="193" t="s">
        <v>53</v>
      </c>
    </row>
    <row r="6" spans="1:13" s="16" customFormat="1" ht="12.9" customHeight="1" x14ac:dyDescent="0.2">
      <c r="A6" s="425" t="s">
        <v>230</v>
      </c>
      <c r="B6" s="426" t="s">
        <v>2</v>
      </c>
      <c r="C6" s="251"/>
      <c r="D6" s="251"/>
      <c r="E6" s="251"/>
      <c r="F6" s="251"/>
      <c r="G6" s="449"/>
      <c r="H6" s="1157"/>
      <c r="I6" s="74"/>
      <c r="J6" s="74"/>
      <c r="K6" s="74"/>
      <c r="L6" s="74"/>
      <c r="M6" s="74"/>
    </row>
    <row r="7" spans="1:13" s="16" customFormat="1" ht="12.9" customHeight="1" thickBot="1" x14ac:dyDescent="0.25">
      <c r="A7" s="323"/>
      <c r="B7" s="1156" t="s">
        <v>356</v>
      </c>
      <c r="C7" s="1315">
        <v>73851000</v>
      </c>
      <c r="D7" s="1315">
        <v>16174000</v>
      </c>
      <c r="E7" s="1315">
        <f>32065000+38000</f>
        <v>32103000</v>
      </c>
      <c r="F7" s="1315">
        <f>'13.a.sz. melléklet'!I9</f>
        <v>3749000</v>
      </c>
      <c r="G7" s="1349">
        <f>'13.a.sz. melléklet'!D9</f>
        <v>1000000</v>
      </c>
      <c r="H7" s="1262">
        <f>SUM(C7:G7)</f>
        <v>126877000</v>
      </c>
      <c r="I7" s="74"/>
      <c r="J7" s="74"/>
      <c r="K7" s="74"/>
      <c r="L7" s="74"/>
      <c r="M7" s="74"/>
    </row>
    <row r="8" spans="1:13" s="16" customFormat="1" ht="0.15" customHeight="1" x14ac:dyDescent="0.2">
      <c r="A8" s="315"/>
      <c r="B8" s="1152" t="s">
        <v>357</v>
      </c>
      <c r="C8" s="1278">
        <f>SUM(C7)+216+72</f>
        <v>73851288</v>
      </c>
      <c r="D8" s="1278">
        <f>SUM(D7)+58+19</f>
        <v>16174077</v>
      </c>
      <c r="E8" s="1278">
        <f t="shared" ref="E8:F8" si="0">SUM(E7)</f>
        <v>32103000</v>
      </c>
      <c r="F8" s="1278">
        <f t="shared" si="0"/>
        <v>3749000</v>
      </c>
      <c r="G8" s="1278"/>
      <c r="H8" s="1263">
        <f>SUM(C8:G8)</f>
        <v>125877365</v>
      </c>
      <c r="I8" s="74"/>
      <c r="J8" s="74"/>
      <c r="K8" s="74"/>
      <c r="L8" s="74"/>
      <c r="M8" s="74"/>
    </row>
    <row r="9" spans="1:13" s="850" customFormat="1" ht="0.15" customHeight="1" thickBot="1" x14ac:dyDescent="0.25">
      <c r="A9" s="816"/>
      <c r="B9" s="848" t="s">
        <v>355</v>
      </c>
      <c r="C9" s="1350">
        <v>57231</v>
      </c>
      <c r="D9" s="1350">
        <v>16594</v>
      </c>
      <c r="E9" s="1350">
        <v>20040</v>
      </c>
      <c r="F9" s="1350">
        <v>2795</v>
      </c>
      <c r="G9" s="1351"/>
      <c r="H9" s="1264">
        <f>SUM(C9:G9)</f>
        <v>96660</v>
      </c>
      <c r="I9" s="849"/>
      <c r="J9" s="849"/>
      <c r="K9" s="849"/>
      <c r="L9" s="849"/>
      <c r="M9" s="849"/>
    </row>
    <row r="10" spans="1:13" s="16" customFormat="1" ht="0.15" customHeight="1" x14ac:dyDescent="0.2">
      <c r="A10" s="578" t="s">
        <v>475</v>
      </c>
      <c r="B10" s="1101" t="s">
        <v>476</v>
      </c>
      <c r="C10" s="1288"/>
      <c r="D10" s="1288"/>
      <c r="E10" s="1288"/>
      <c r="F10" s="1288"/>
      <c r="G10" s="1288"/>
      <c r="H10" s="1265"/>
      <c r="I10" s="74"/>
      <c r="J10" s="74"/>
      <c r="K10" s="74"/>
      <c r="L10" s="74"/>
      <c r="M10" s="74"/>
    </row>
    <row r="11" spans="1:13" s="16" customFormat="1" ht="0.15" customHeight="1" x14ac:dyDescent="0.2">
      <c r="A11" s="808"/>
      <c r="B11" s="872" t="s">
        <v>356</v>
      </c>
      <c r="C11" s="1290"/>
      <c r="D11" s="1290"/>
      <c r="E11" s="1290"/>
      <c r="F11" s="1290"/>
      <c r="G11" s="1290"/>
      <c r="H11" s="1266"/>
      <c r="I11" s="74"/>
      <c r="J11" s="74"/>
      <c r="K11" s="74"/>
      <c r="L11" s="74"/>
      <c r="M11" s="74"/>
    </row>
    <row r="12" spans="1:13" s="16" customFormat="1" ht="0.15" customHeight="1" x14ac:dyDescent="0.2">
      <c r="A12" s="311"/>
      <c r="B12" s="312" t="s">
        <v>357</v>
      </c>
      <c r="C12" s="1292">
        <v>724</v>
      </c>
      <c r="D12" s="1292">
        <v>184</v>
      </c>
      <c r="E12" s="1292">
        <v>219</v>
      </c>
      <c r="F12" s="1292"/>
      <c r="G12" s="1292"/>
      <c r="H12" s="1267">
        <f>SUM(C12:G12)</f>
        <v>1127</v>
      </c>
      <c r="I12" s="74"/>
      <c r="J12" s="74"/>
      <c r="K12" s="74"/>
      <c r="L12" s="74"/>
      <c r="M12" s="74"/>
    </row>
    <row r="13" spans="1:13" s="850" customFormat="1" ht="0.15" customHeight="1" thickBot="1" x14ac:dyDescent="0.25">
      <c r="A13" s="816"/>
      <c r="B13" s="848" t="s">
        <v>355</v>
      </c>
      <c r="C13" s="1350">
        <v>125</v>
      </c>
      <c r="D13" s="1350">
        <v>34</v>
      </c>
      <c r="E13" s="1350"/>
      <c r="F13" s="1350"/>
      <c r="G13" s="1350"/>
      <c r="H13" s="1264">
        <f>SUM(C13:G13)</f>
        <v>159</v>
      </c>
      <c r="I13" s="849"/>
      <c r="J13" s="849"/>
      <c r="K13" s="849"/>
      <c r="L13" s="849"/>
      <c r="M13" s="849"/>
    </row>
    <row r="14" spans="1:13" ht="12.9" customHeight="1" x14ac:dyDescent="0.25">
      <c r="A14" s="411" t="s">
        <v>231</v>
      </c>
      <c r="B14" s="427" t="s">
        <v>130</v>
      </c>
      <c r="C14" s="1352"/>
      <c r="D14" s="1352"/>
      <c r="E14" s="1352"/>
      <c r="F14" s="1352"/>
      <c r="G14" s="1353"/>
      <c r="H14" s="1263"/>
    </row>
    <row r="15" spans="1:13" ht="12.9" customHeight="1" thickBot="1" x14ac:dyDescent="0.3">
      <c r="A15" s="419"/>
      <c r="B15" s="872" t="s">
        <v>356</v>
      </c>
      <c r="C15" s="1354">
        <v>8058000</v>
      </c>
      <c r="D15" s="1354">
        <v>1669000</v>
      </c>
      <c r="E15" s="1354">
        <v>2519000</v>
      </c>
      <c r="F15" s="1354"/>
      <c r="G15" s="1355"/>
      <c r="H15" s="1266">
        <f>SUM(C15:F15)</f>
        <v>12246000</v>
      </c>
    </row>
    <row r="16" spans="1:13" ht="0.15" customHeight="1" x14ac:dyDescent="0.25">
      <c r="A16" s="873"/>
      <c r="B16" s="312" t="s">
        <v>357</v>
      </c>
      <c r="C16" s="1268">
        <f>6568+217+108</f>
        <v>6893</v>
      </c>
      <c r="D16" s="1268">
        <f>1921+59+29</f>
        <v>2009</v>
      </c>
      <c r="E16" s="1268">
        <v>2204</v>
      </c>
      <c r="F16" s="1268">
        <v>0</v>
      </c>
      <c r="G16" s="1269"/>
      <c r="H16" s="1267">
        <f>SUM(C16:F16)</f>
        <v>11106</v>
      </c>
    </row>
    <row r="17" spans="1:13" s="803" customFormat="1" ht="0.15" customHeight="1" thickBot="1" x14ac:dyDescent="0.3">
      <c r="A17" s="881"/>
      <c r="B17" s="852" t="s">
        <v>355</v>
      </c>
      <c r="C17" s="1270">
        <v>5056</v>
      </c>
      <c r="D17" s="1270">
        <v>1244</v>
      </c>
      <c r="E17" s="1270">
        <v>887</v>
      </c>
      <c r="F17" s="1270">
        <v>57</v>
      </c>
      <c r="G17" s="1271"/>
      <c r="H17" s="1272">
        <f>SUM(C17:F17)</f>
        <v>7244</v>
      </c>
    </row>
    <row r="18" spans="1:13" ht="12.9" customHeight="1" thickBot="1" x14ac:dyDescent="0.3">
      <c r="A18" s="2609" t="s">
        <v>94</v>
      </c>
      <c r="B18" s="2620"/>
      <c r="C18" s="1273"/>
      <c r="D18" s="1273"/>
      <c r="E18" s="1273"/>
      <c r="F18" s="1273"/>
      <c r="G18" s="1274"/>
      <c r="H18" s="1275"/>
      <c r="I18" s="228"/>
      <c r="J18" s="82"/>
    </row>
    <row r="19" spans="1:13" ht="12.9" customHeight="1" thickBot="1" x14ac:dyDescent="0.3">
      <c r="A19" s="1150"/>
      <c r="B19" s="1151" t="s">
        <v>356</v>
      </c>
      <c r="C19" s="1276">
        <f t="shared" ref="C19:F21" si="1">C7+C15</f>
        <v>81909000</v>
      </c>
      <c r="D19" s="1276">
        <f t="shared" si="1"/>
        <v>17843000</v>
      </c>
      <c r="E19" s="1276">
        <f t="shared" si="1"/>
        <v>34622000</v>
      </c>
      <c r="F19" s="1276">
        <f t="shared" si="1"/>
        <v>3749000</v>
      </c>
      <c r="G19" s="1276">
        <f>G7</f>
        <v>1000000</v>
      </c>
      <c r="H19" s="1277">
        <f>H7+H15</f>
        <v>139123000</v>
      </c>
      <c r="I19" s="228"/>
      <c r="J19" s="82"/>
    </row>
    <row r="20" spans="1:13" ht="0.15" customHeight="1" x14ac:dyDescent="0.25">
      <c r="A20" s="1148"/>
      <c r="B20" s="1149" t="s">
        <v>357</v>
      </c>
      <c r="C20" s="1121">
        <f>C8+C16+C12</f>
        <v>73858905</v>
      </c>
      <c r="D20" s="1121">
        <f t="shared" ref="D20:H20" si="2">D8+D16+D12</f>
        <v>16176270</v>
      </c>
      <c r="E20" s="1121">
        <f t="shared" si="2"/>
        <v>32105423</v>
      </c>
      <c r="F20" s="1121">
        <f t="shared" si="2"/>
        <v>3749000</v>
      </c>
      <c r="G20" s="1121">
        <f t="shared" si="2"/>
        <v>0</v>
      </c>
      <c r="H20" s="1121">
        <f t="shared" si="2"/>
        <v>125889598</v>
      </c>
      <c r="I20" s="228"/>
      <c r="J20" s="82"/>
    </row>
    <row r="21" spans="1:13" s="803" customFormat="1" ht="0.15" customHeight="1" x14ac:dyDescent="0.25">
      <c r="A21" s="1141"/>
      <c r="B21" s="1142" t="s">
        <v>355</v>
      </c>
      <c r="C21" s="853">
        <f>C9+C17+C13</f>
        <v>62412</v>
      </c>
      <c r="D21" s="853">
        <f>D9+D17+D13</f>
        <v>17872</v>
      </c>
      <c r="E21" s="853">
        <f t="shared" si="1"/>
        <v>20927</v>
      </c>
      <c r="F21" s="853">
        <f t="shared" si="1"/>
        <v>2852</v>
      </c>
      <c r="G21" s="853">
        <f>G9+G17</f>
        <v>0</v>
      </c>
      <c r="H21" s="855">
        <f>H9+H17+H13</f>
        <v>104063</v>
      </c>
      <c r="I21" s="856"/>
      <c r="J21" s="857"/>
    </row>
    <row r="22" spans="1:13" s="803" customFormat="1" ht="0.15" customHeight="1" x14ac:dyDescent="0.25">
      <c r="A22" s="1141"/>
      <c r="B22" s="1142" t="s">
        <v>427</v>
      </c>
      <c r="C22" s="1143">
        <f>SUM(C21)/C20</f>
        <v>8.4501658940110201E-4</v>
      </c>
      <c r="D22" s="1143">
        <f t="shared" ref="D22:H22" si="3">SUM(D21)/D20</f>
        <v>1.1048282453247876E-3</v>
      </c>
      <c r="E22" s="1143">
        <f t="shared" si="3"/>
        <v>6.5182134494848429E-4</v>
      </c>
      <c r="F22" s="1143">
        <f t="shared" si="3"/>
        <v>7.6073619631901836E-4</v>
      </c>
      <c r="G22" s="1143"/>
      <c r="H22" s="1144">
        <f t="shared" si="3"/>
        <v>8.2662111606711147E-4</v>
      </c>
      <c r="I22" s="856"/>
      <c r="J22" s="857"/>
    </row>
    <row r="23" spans="1:13" ht="12.6" customHeight="1" thickBot="1" x14ac:dyDescent="0.3">
      <c r="A23" s="1145"/>
      <c r="B23" s="1146"/>
      <c r="C23" s="565"/>
      <c r="D23" s="565"/>
      <c r="E23" s="565"/>
      <c r="F23" s="565"/>
      <c r="G23" s="565"/>
      <c r="H23" s="1147"/>
    </row>
    <row r="24" spans="1:13" ht="36" customHeight="1" x14ac:dyDescent="0.25">
      <c r="A24" s="1139" t="s">
        <v>93</v>
      </c>
      <c r="B24" s="1140" t="s">
        <v>92</v>
      </c>
      <c r="C24" s="263" t="s">
        <v>175</v>
      </c>
      <c r="D24" s="263" t="s">
        <v>95</v>
      </c>
      <c r="E24" s="263" t="s">
        <v>287</v>
      </c>
      <c r="F24" s="263" t="s">
        <v>301</v>
      </c>
      <c r="G24" s="450" t="s">
        <v>389</v>
      </c>
      <c r="H24" s="428"/>
    </row>
    <row r="25" spans="1:13" s="16" customFormat="1" ht="12.9" customHeight="1" x14ac:dyDescent="0.2">
      <c r="A25" s="425" t="s">
        <v>230</v>
      </c>
      <c r="B25" s="426" t="s">
        <v>2</v>
      </c>
      <c r="C25" s="1278"/>
      <c r="D25" s="1278"/>
      <c r="E25" s="1278"/>
      <c r="F25" s="1278"/>
      <c r="G25" s="1279"/>
      <c r="H25" s="1280"/>
      <c r="I25" s="74"/>
      <c r="J25" s="74"/>
      <c r="K25" s="74"/>
      <c r="L25" s="74"/>
      <c r="M25" s="74"/>
    </row>
    <row r="26" spans="1:13" s="16" customFormat="1" ht="12.9" customHeight="1" thickBot="1" x14ac:dyDescent="0.25">
      <c r="A26" s="323"/>
      <c r="B26" s="1156" t="s">
        <v>356</v>
      </c>
      <c r="C26" s="1281"/>
      <c r="D26" s="1281">
        <v>10180000</v>
      </c>
      <c r="E26" s="1281"/>
      <c r="F26" s="1281"/>
      <c r="G26" s="1282"/>
      <c r="H26" s="1283">
        <f>SUM(C26:F26)</f>
        <v>10180000</v>
      </c>
      <c r="I26" s="74"/>
      <c r="J26" s="74"/>
      <c r="K26" s="74"/>
      <c r="L26" s="74"/>
      <c r="M26" s="74"/>
    </row>
    <row r="27" spans="1:13" s="16" customFormat="1" ht="0.15" customHeight="1" x14ac:dyDescent="0.2">
      <c r="A27" s="315"/>
      <c r="B27" s="1152" t="s">
        <v>357</v>
      </c>
      <c r="C27" s="1278">
        <f>SUM(C26)</f>
        <v>0</v>
      </c>
      <c r="D27" s="1278">
        <f t="shared" ref="D27" si="4">SUM(D26)</f>
        <v>10180000</v>
      </c>
      <c r="E27" s="1278"/>
      <c r="F27" s="1278"/>
      <c r="G27" s="1278"/>
      <c r="H27" s="1284">
        <f>SUM(C27:F27)</f>
        <v>10180000</v>
      </c>
      <c r="I27" s="74"/>
      <c r="J27" s="74"/>
      <c r="K27" s="74"/>
      <c r="L27" s="74"/>
      <c r="M27" s="74"/>
    </row>
    <row r="28" spans="1:13" s="850" customFormat="1" ht="0.15" customHeight="1" thickBot="1" x14ac:dyDescent="0.25">
      <c r="A28" s="816"/>
      <c r="B28" s="848" t="s">
        <v>355</v>
      </c>
      <c r="C28" s="1285"/>
      <c r="D28" s="1285">
        <v>8790</v>
      </c>
      <c r="E28" s="1285">
        <v>-380</v>
      </c>
      <c r="F28" s="1285"/>
      <c r="G28" s="1286"/>
      <c r="H28" s="1287">
        <f>SUM(C28:F28)</f>
        <v>8410</v>
      </c>
      <c r="I28" s="849"/>
      <c r="J28" s="849"/>
      <c r="K28" s="849"/>
      <c r="L28" s="849"/>
      <c r="M28" s="849"/>
    </row>
    <row r="29" spans="1:13" s="16" customFormat="1" ht="0.15" customHeight="1" x14ac:dyDescent="0.2">
      <c r="A29" s="578" t="s">
        <v>475</v>
      </c>
      <c r="B29" s="1101" t="s">
        <v>476</v>
      </c>
      <c r="C29" s="1288"/>
      <c r="D29" s="1288"/>
      <c r="E29" s="1288"/>
      <c r="F29" s="1288"/>
      <c r="G29" s="1288"/>
      <c r="H29" s="1289"/>
      <c r="I29" s="74"/>
      <c r="J29" s="74"/>
      <c r="K29" s="74"/>
      <c r="L29" s="74"/>
      <c r="M29" s="74"/>
    </row>
    <row r="30" spans="1:13" s="16" customFormat="1" ht="0.15" customHeight="1" x14ac:dyDescent="0.2">
      <c r="A30" s="808"/>
      <c r="B30" s="872" t="s">
        <v>356</v>
      </c>
      <c r="C30" s="1290"/>
      <c r="D30" s="1290"/>
      <c r="E30" s="1290"/>
      <c r="F30" s="1290"/>
      <c r="G30" s="1290"/>
      <c r="H30" s="1291"/>
      <c r="I30" s="74"/>
      <c r="J30" s="74"/>
      <c r="K30" s="74"/>
      <c r="L30" s="74"/>
      <c r="M30" s="74"/>
    </row>
    <row r="31" spans="1:13" s="16" customFormat="1" ht="0.15" customHeight="1" x14ac:dyDescent="0.2">
      <c r="A31" s="311"/>
      <c r="B31" s="312" t="s">
        <v>357</v>
      </c>
      <c r="C31" s="1292"/>
      <c r="D31" s="1292"/>
      <c r="E31" s="1292"/>
      <c r="F31" s="1292">
        <v>1127</v>
      </c>
      <c r="G31" s="1292"/>
      <c r="H31" s="1293">
        <f>SUM(C31:G31)</f>
        <v>1127</v>
      </c>
      <c r="I31" s="74"/>
      <c r="J31" s="74"/>
      <c r="K31" s="74"/>
      <c r="L31" s="74"/>
      <c r="M31" s="74"/>
    </row>
    <row r="32" spans="1:13" s="850" customFormat="1" ht="0.15" customHeight="1" thickBot="1" x14ac:dyDescent="0.25">
      <c r="A32" s="816"/>
      <c r="B32" s="848" t="s">
        <v>355</v>
      </c>
      <c r="C32" s="1294"/>
      <c r="D32" s="1294"/>
      <c r="E32" s="1294"/>
      <c r="F32" s="1294">
        <v>519</v>
      </c>
      <c r="G32" s="1294"/>
      <c r="H32" s="1287">
        <f>SUM(C32:G32)</f>
        <v>519</v>
      </c>
      <c r="I32" s="849"/>
      <c r="J32" s="849"/>
      <c r="K32" s="849"/>
      <c r="L32" s="849"/>
      <c r="M32" s="849"/>
    </row>
    <row r="33" spans="1:13" s="16" customFormat="1" ht="12.9" customHeight="1" x14ac:dyDescent="0.2">
      <c r="A33" s="411" t="s">
        <v>284</v>
      </c>
      <c r="B33" s="430" t="s">
        <v>286</v>
      </c>
      <c r="C33" s="1278"/>
      <c r="D33" s="1278"/>
      <c r="E33" s="1278"/>
      <c r="F33" s="1278"/>
      <c r="G33" s="1279"/>
      <c r="H33" s="1284"/>
      <c r="I33" s="74"/>
      <c r="J33" s="74"/>
      <c r="K33" s="74"/>
      <c r="L33" s="74"/>
      <c r="M33" s="74"/>
    </row>
    <row r="34" spans="1:13" s="16" customFormat="1" ht="12.9" customHeight="1" thickBot="1" x14ac:dyDescent="0.25">
      <c r="A34" s="423"/>
      <c r="B34" s="872" t="s">
        <v>356</v>
      </c>
      <c r="C34" s="1290"/>
      <c r="D34" s="1290"/>
      <c r="E34" s="1290">
        <f>SUM(H19-C38-D38)</f>
        <v>128943000</v>
      </c>
      <c r="F34" s="1290"/>
      <c r="G34" s="1295"/>
      <c r="H34" s="1291">
        <f>SUM(C34:F34)</f>
        <v>128943000</v>
      </c>
      <c r="I34" s="74"/>
      <c r="J34" s="74"/>
      <c r="K34" s="74"/>
      <c r="L34" s="74"/>
      <c r="M34" s="74"/>
    </row>
    <row r="35" spans="1:13" s="16" customFormat="1" ht="0.15" customHeight="1" x14ac:dyDescent="0.2">
      <c r="A35" s="311"/>
      <c r="B35" s="312" t="s">
        <v>357</v>
      </c>
      <c r="C35" s="1292"/>
      <c r="D35" s="1292"/>
      <c r="E35" s="1292">
        <f>H20-C27-D27-183-F31</f>
        <v>115708288</v>
      </c>
      <c r="F35" s="1292"/>
      <c r="G35" s="1296">
        <v>183</v>
      </c>
      <c r="H35" s="1293">
        <f>SUM(C35:G35)</f>
        <v>115708471</v>
      </c>
      <c r="I35" s="74"/>
      <c r="J35" s="74"/>
      <c r="K35" s="74"/>
      <c r="L35" s="74"/>
      <c r="M35" s="74"/>
    </row>
    <row r="36" spans="1:13" s="850" customFormat="1" ht="0.15" customHeight="1" thickBot="1" x14ac:dyDescent="0.25">
      <c r="A36" s="881"/>
      <c r="B36" s="852" t="s">
        <v>355</v>
      </c>
      <c r="C36" s="1297"/>
      <c r="D36" s="1297"/>
      <c r="E36" s="1297">
        <v>95669</v>
      </c>
      <c r="F36" s="1297"/>
      <c r="G36" s="1298"/>
      <c r="H36" s="1299">
        <f>SUM(C36:F36)</f>
        <v>95669</v>
      </c>
      <c r="I36" s="849"/>
      <c r="J36" s="849"/>
      <c r="K36" s="849"/>
      <c r="L36" s="849"/>
      <c r="M36" s="849"/>
    </row>
    <row r="37" spans="1:13" ht="12.9" customHeight="1" thickBot="1" x14ac:dyDescent="0.3">
      <c r="A37" s="2609" t="s">
        <v>96</v>
      </c>
      <c r="B37" s="2620"/>
      <c r="C37" s="1273"/>
      <c r="D37" s="1273"/>
      <c r="E37" s="1273"/>
      <c r="F37" s="1273"/>
      <c r="G37" s="1274"/>
      <c r="H37" s="1300"/>
      <c r="I37" s="228"/>
      <c r="J37" s="82"/>
    </row>
    <row r="38" spans="1:13" ht="12.9" customHeight="1" thickBot="1" x14ac:dyDescent="0.3">
      <c r="A38" s="1150"/>
      <c r="B38" s="1151" t="s">
        <v>356</v>
      </c>
      <c r="C38" s="1276">
        <f t="shared" ref="C38:F40" si="5">C26+C34</f>
        <v>0</v>
      </c>
      <c r="D38" s="1276">
        <f t="shared" si="5"/>
        <v>10180000</v>
      </c>
      <c r="E38" s="1276">
        <f t="shared" si="5"/>
        <v>128943000</v>
      </c>
      <c r="F38" s="1276">
        <f t="shared" si="5"/>
        <v>0</v>
      </c>
      <c r="G38" s="1276"/>
      <c r="H38" s="1301">
        <f>H26+H34</f>
        <v>139123000</v>
      </c>
      <c r="I38" s="228"/>
      <c r="J38" s="82"/>
    </row>
    <row r="39" spans="1:13" ht="0.15" customHeight="1" x14ac:dyDescent="0.25">
      <c r="A39" s="1148"/>
      <c r="B39" s="1149" t="s">
        <v>357</v>
      </c>
      <c r="C39" s="1121">
        <f>C27+C35+C31</f>
        <v>0</v>
      </c>
      <c r="D39" s="1121">
        <f t="shared" ref="D39:H39" si="6">D27+D35+D31</f>
        <v>10180000</v>
      </c>
      <c r="E39" s="1121">
        <f t="shared" si="6"/>
        <v>115708288</v>
      </c>
      <c r="F39" s="1121">
        <f t="shared" si="6"/>
        <v>1127</v>
      </c>
      <c r="G39" s="1121">
        <f t="shared" si="6"/>
        <v>183</v>
      </c>
      <c r="H39" s="1121">
        <f t="shared" si="6"/>
        <v>125889598</v>
      </c>
      <c r="I39" s="228"/>
      <c r="J39" s="82"/>
    </row>
    <row r="40" spans="1:13" s="803" customFormat="1" ht="0.15" customHeight="1" x14ac:dyDescent="0.25">
      <c r="A40" s="851"/>
      <c r="B40" s="852" t="s">
        <v>355</v>
      </c>
      <c r="C40" s="853">
        <f t="shared" si="5"/>
        <v>0</v>
      </c>
      <c r="D40" s="853">
        <f t="shared" si="5"/>
        <v>8790</v>
      </c>
      <c r="E40" s="853">
        <f t="shared" si="5"/>
        <v>95289</v>
      </c>
      <c r="F40" s="853">
        <f>SUM(F32)</f>
        <v>519</v>
      </c>
      <c r="G40" s="853"/>
      <c r="H40" s="855">
        <f>H28+H36+H32</f>
        <v>104598</v>
      </c>
      <c r="I40" s="856"/>
      <c r="J40" s="857"/>
    </row>
    <row r="41" spans="1:13" s="803" customFormat="1" ht="0.15" customHeight="1" thickBot="1" x14ac:dyDescent="0.3">
      <c r="A41" s="858"/>
      <c r="B41" s="848" t="s">
        <v>427</v>
      </c>
      <c r="C41" s="868" t="e">
        <f>SUM(C40)/C39</f>
        <v>#DIV/0!</v>
      </c>
      <c r="D41" s="868">
        <f t="shared" ref="D41:H41" si="7">SUM(D40)/D39</f>
        <v>8.6345776031434185E-4</v>
      </c>
      <c r="E41" s="868">
        <f t="shared" si="7"/>
        <v>8.235278703630979E-4</v>
      </c>
      <c r="F41" s="868"/>
      <c r="G41" s="868"/>
      <c r="H41" s="869">
        <f t="shared" si="7"/>
        <v>8.3087087147581484E-4</v>
      </c>
      <c r="I41" s="856"/>
      <c r="J41" s="857"/>
    </row>
    <row r="42" spans="1:13" ht="12.6" customHeight="1" thickBot="1" x14ac:dyDescent="0.3"/>
    <row r="43" spans="1:13" ht="29.25" customHeight="1" thickBot="1" x14ac:dyDescent="0.4">
      <c r="A43" s="2553" t="s">
        <v>567</v>
      </c>
      <c r="B43" s="2584"/>
      <c r="C43" s="2584"/>
      <c r="D43" s="2584"/>
      <c r="E43" s="2584"/>
      <c r="F43" s="2584"/>
      <c r="G43" s="2584"/>
      <c r="H43" s="2613"/>
    </row>
    <row r="44" spans="1:13" ht="16.8" x14ac:dyDescent="0.25">
      <c r="A44" s="190" t="s">
        <v>93</v>
      </c>
      <c r="B44" s="191" t="s">
        <v>92</v>
      </c>
      <c r="C44" s="192" t="s">
        <v>57</v>
      </c>
      <c r="D44" s="192" t="s">
        <v>90</v>
      </c>
      <c r="E44" s="192" t="s">
        <v>91</v>
      </c>
      <c r="F44" s="192" t="s">
        <v>319</v>
      </c>
      <c r="G44" s="448" t="s">
        <v>378</v>
      </c>
      <c r="H44" s="193" t="s">
        <v>53</v>
      </c>
    </row>
    <row r="45" spans="1:13" ht="12.6" customHeight="1" x14ac:dyDescent="0.25">
      <c r="A45" s="2614" t="s">
        <v>176</v>
      </c>
      <c r="B45" s="2615"/>
      <c r="C45" s="75"/>
      <c r="D45" s="75"/>
      <c r="E45" s="75"/>
      <c r="F45" s="75"/>
      <c r="G45" s="75"/>
      <c r="H45" s="1158"/>
    </row>
    <row r="46" spans="1:13" ht="12.6" customHeight="1" x14ac:dyDescent="0.25">
      <c r="A46" s="425" t="s">
        <v>231</v>
      </c>
      <c r="B46" s="401" t="s">
        <v>130</v>
      </c>
      <c r="C46" s="1302"/>
      <c r="D46" s="1302"/>
      <c r="E46" s="1302"/>
      <c r="F46" s="1302"/>
      <c r="G46" s="1302"/>
      <c r="H46" s="1303"/>
    </row>
    <row r="47" spans="1:13" ht="12.6" customHeight="1" thickBot="1" x14ac:dyDescent="0.3">
      <c r="A47" s="1219"/>
      <c r="B47" s="1156" t="s">
        <v>356</v>
      </c>
      <c r="C47" s="1304">
        <f t="shared" ref="C47:E49" si="8">C15</f>
        <v>8058000</v>
      </c>
      <c r="D47" s="1304">
        <f t="shared" si="8"/>
        <v>1669000</v>
      </c>
      <c r="E47" s="1304">
        <f t="shared" si="8"/>
        <v>2519000</v>
      </c>
      <c r="F47" s="1304">
        <f>SUM(F15)</f>
        <v>0</v>
      </c>
      <c r="G47" s="1304"/>
      <c r="H47" s="1305">
        <f>SUM(C47:G47)</f>
        <v>12246000</v>
      </c>
    </row>
    <row r="48" spans="1:13" ht="0.15" customHeight="1" x14ac:dyDescent="0.25">
      <c r="A48" s="1218"/>
      <c r="B48" s="1152" t="s">
        <v>357</v>
      </c>
      <c r="C48" s="1306">
        <f t="shared" si="8"/>
        <v>6893</v>
      </c>
      <c r="D48" s="1306">
        <f t="shared" si="8"/>
        <v>2009</v>
      </c>
      <c r="E48" s="1306">
        <f t="shared" si="8"/>
        <v>2204</v>
      </c>
      <c r="F48" s="1306"/>
      <c r="G48" s="1306"/>
      <c r="H48" s="1307">
        <f>SUM(C48:G48)</f>
        <v>11106</v>
      </c>
    </row>
    <row r="49" spans="1:8" s="803" customFormat="1" ht="0.15" customHeight="1" x14ac:dyDescent="0.25">
      <c r="A49" s="1153"/>
      <c r="B49" s="1154" t="s">
        <v>355</v>
      </c>
      <c r="C49" s="1308">
        <f t="shared" si="8"/>
        <v>5056</v>
      </c>
      <c r="D49" s="1308">
        <f t="shared" si="8"/>
        <v>1244</v>
      </c>
      <c r="E49" s="1308">
        <f t="shared" si="8"/>
        <v>887</v>
      </c>
      <c r="F49" s="1308">
        <f>SUM(F17)</f>
        <v>57</v>
      </c>
      <c r="G49" s="1308"/>
      <c r="H49" s="1309">
        <f>SUM(C49:G49)</f>
        <v>7244</v>
      </c>
    </row>
    <row r="50" spans="1:8" ht="0.15" customHeight="1" x14ac:dyDescent="0.25">
      <c r="A50" s="425" t="s">
        <v>475</v>
      </c>
      <c r="B50" s="1155" t="s">
        <v>476</v>
      </c>
      <c r="C50" s="1292"/>
      <c r="D50" s="1292"/>
      <c r="E50" s="1292"/>
      <c r="F50" s="1292"/>
      <c r="G50" s="1292"/>
      <c r="H50" s="1310"/>
    </row>
    <row r="51" spans="1:8" ht="0.15" customHeight="1" x14ac:dyDescent="0.25">
      <c r="A51" s="311"/>
      <c r="B51" s="312" t="s">
        <v>356</v>
      </c>
      <c r="C51" s="1292"/>
      <c r="D51" s="1292"/>
      <c r="E51" s="1292"/>
      <c r="F51" s="1292"/>
      <c r="G51" s="1292"/>
      <c r="H51" s="1310"/>
    </row>
    <row r="52" spans="1:8" ht="0.15" customHeight="1" x14ac:dyDescent="0.25">
      <c r="A52" s="311"/>
      <c r="B52" s="312" t="s">
        <v>357</v>
      </c>
      <c r="C52" s="1292">
        <f>SUM(C12)</f>
        <v>724</v>
      </c>
      <c r="D52" s="1292">
        <f t="shared" ref="D52:H52" si="9">SUM(D12)</f>
        <v>184</v>
      </c>
      <c r="E52" s="1292">
        <f t="shared" si="9"/>
        <v>219</v>
      </c>
      <c r="F52" s="1292"/>
      <c r="G52" s="1292"/>
      <c r="H52" s="1311">
        <f t="shared" si="9"/>
        <v>1127</v>
      </c>
    </row>
    <row r="53" spans="1:8" s="803" customFormat="1" ht="0.15" customHeight="1" x14ac:dyDescent="0.25">
      <c r="A53" s="1117"/>
      <c r="B53" s="1142" t="s">
        <v>355</v>
      </c>
      <c r="C53" s="1312">
        <f>SUM(C13)</f>
        <v>125</v>
      </c>
      <c r="D53" s="1312">
        <f>SUM(D13)</f>
        <v>34</v>
      </c>
      <c r="E53" s="1312"/>
      <c r="F53" s="1312"/>
      <c r="G53" s="1312"/>
      <c r="H53" s="1313">
        <f>SUM(C53:G53)</f>
        <v>159</v>
      </c>
    </row>
    <row r="54" spans="1:8" ht="12.6" customHeight="1" x14ac:dyDescent="0.25">
      <c r="A54" s="2618" t="s">
        <v>180</v>
      </c>
      <c r="B54" s="2619"/>
      <c r="C54" s="1314"/>
      <c r="D54" s="1314"/>
      <c r="E54" s="1314"/>
      <c r="F54" s="1314"/>
      <c r="G54" s="1314"/>
      <c r="H54" s="1303"/>
    </row>
    <row r="55" spans="1:8" ht="12.6" customHeight="1" x14ac:dyDescent="0.25">
      <c r="A55" s="425" t="s">
        <v>230</v>
      </c>
      <c r="B55" s="426" t="s">
        <v>2</v>
      </c>
      <c r="C55" s="1292"/>
      <c r="D55" s="1292"/>
      <c r="E55" s="1292"/>
      <c r="F55" s="1292"/>
      <c r="G55" s="1292"/>
      <c r="H55" s="1303"/>
    </row>
    <row r="56" spans="1:8" ht="12.6" customHeight="1" thickBot="1" x14ac:dyDescent="0.3">
      <c r="A56" s="323"/>
      <c r="B56" s="1156" t="s">
        <v>356</v>
      </c>
      <c r="C56" s="1315">
        <f t="shared" ref="C56:G58" si="10">C7</f>
        <v>73851000</v>
      </c>
      <c r="D56" s="1315">
        <f t="shared" si="10"/>
        <v>16174000</v>
      </c>
      <c r="E56" s="1315">
        <f t="shared" si="10"/>
        <v>32103000</v>
      </c>
      <c r="F56" s="1315">
        <f t="shared" si="10"/>
        <v>3749000</v>
      </c>
      <c r="G56" s="1315">
        <f>G7</f>
        <v>1000000</v>
      </c>
      <c r="H56" s="1305">
        <f>SUM(C56:G56)</f>
        <v>126877000</v>
      </c>
    </row>
    <row r="57" spans="1:8" ht="0.15" customHeight="1" x14ac:dyDescent="0.25">
      <c r="A57" s="315"/>
      <c r="B57" s="1152" t="s">
        <v>357</v>
      </c>
      <c r="C57" s="1278">
        <f t="shared" si="10"/>
        <v>73851288</v>
      </c>
      <c r="D57" s="1278">
        <f t="shared" si="10"/>
        <v>16174077</v>
      </c>
      <c r="E57" s="1278">
        <f t="shared" si="10"/>
        <v>32103000</v>
      </c>
      <c r="F57" s="1278">
        <f t="shared" si="10"/>
        <v>3749000</v>
      </c>
      <c r="G57" s="1279"/>
      <c r="H57" s="1316">
        <f>SUM(C57:G57)</f>
        <v>125877365</v>
      </c>
    </row>
    <row r="58" spans="1:8" s="803" customFormat="1" ht="0.15" customHeight="1" thickBot="1" x14ac:dyDescent="0.3">
      <c r="A58" s="816"/>
      <c r="B58" s="848" t="s">
        <v>355</v>
      </c>
      <c r="C58" s="1294">
        <f t="shared" si="10"/>
        <v>57231</v>
      </c>
      <c r="D58" s="1294">
        <f t="shared" si="10"/>
        <v>16594</v>
      </c>
      <c r="E58" s="1294">
        <f t="shared" si="10"/>
        <v>20040</v>
      </c>
      <c r="F58" s="1294">
        <f t="shared" si="10"/>
        <v>2795</v>
      </c>
      <c r="G58" s="1317">
        <f t="shared" si="10"/>
        <v>0</v>
      </c>
      <c r="H58" s="1318">
        <f>SUM(C58:G58)</f>
        <v>96660</v>
      </c>
    </row>
    <row r="59" spans="1:8" ht="12.6" customHeight="1" thickBot="1" x14ac:dyDescent="0.3">
      <c r="A59" s="2621" t="s">
        <v>94</v>
      </c>
      <c r="B59" s="2622"/>
      <c r="C59" s="1319"/>
      <c r="D59" s="1319"/>
      <c r="E59" s="1319"/>
      <c r="F59" s="1319"/>
      <c r="G59" s="1320"/>
      <c r="H59" s="1321"/>
    </row>
    <row r="60" spans="1:8" ht="12.6" customHeight="1" x14ac:dyDescent="0.25">
      <c r="A60" s="776"/>
      <c r="B60" s="597" t="s">
        <v>356</v>
      </c>
      <c r="C60" s="1322">
        <f t="shared" ref="C60:H60" si="11">C47+C56</f>
        <v>81909000</v>
      </c>
      <c r="D60" s="1322">
        <f t="shared" si="11"/>
        <v>17843000</v>
      </c>
      <c r="E60" s="1322">
        <f t="shared" si="11"/>
        <v>34622000</v>
      </c>
      <c r="F60" s="1322">
        <f t="shared" si="11"/>
        <v>3749000</v>
      </c>
      <c r="G60" s="1323">
        <f t="shared" si="11"/>
        <v>1000000</v>
      </c>
      <c r="H60" s="1324">
        <f t="shared" si="11"/>
        <v>139123000</v>
      </c>
    </row>
    <row r="61" spans="1:8" ht="0.15" customHeight="1" x14ac:dyDescent="0.25">
      <c r="A61" s="875"/>
      <c r="B61" s="874" t="s">
        <v>357</v>
      </c>
      <c r="C61" s="431">
        <f>C48+C57+C52</f>
        <v>73858905</v>
      </c>
      <c r="D61" s="431">
        <f t="shared" ref="D61:H61" si="12">D48+D57+D52</f>
        <v>16176270</v>
      </c>
      <c r="E61" s="431">
        <f t="shared" si="12"/>
        <v>32105423</v>
      </c>
      <c r="F61" s="431">
        <f t="shared" si="12"/>
        <v>3749000</v>
      </c>
      <c r="G61" s="431">
        <f t="shared" si="12"/>
        <v>0</v>
      </c>
      <c r="H61" s="431">
        <f t="shared" si="12"/>
        <v>125889598</v>
      </c>
    </row>
    <row r="62" spans="1:8" s="803" customFormat="1" ht="0.15" customHeight="1" x14ac:dyDescent="0.25">
      <c r="A62" s="871"/>
      <c r="B62" s="852" t="s">
        <v>355</v>
      </c>
      <c r="C62" s="853">
        <f>C49+C58+C53</f>
        <v>62412</v>
      </c>
      <c r="D62" s="853">
        <f>D49+D58+D53</f>
        <v>17872</v>
      </c>
      <c r="E62" s="853">
        <f>E49+E58</f>
        <v>20927</v>
      </c>
      <c r="F62" s="853">
        <f>F49+F58</f>
        <v>2852</v>
      </c>
      <c r="G62" s="854">
        <f>G49+G58</f>
        <v>0</v>
      </c>
      <c r="H62" s="855">
        <f>H49+H58+H53</f>
        <v>104063</v>
      </c>
    </row>
    <row r="63" spans="1:8" s="803" customFormat="1" ht="12.6" customHeight="1" thickBot="1" x14ac:dyDescent="0.3">
      <c r="A63" s="870"/>
      <c r="B63" s="848" t="s">
        <v>427</v>
      </c>
      <c r="C63" s="859">
        <f>SUM(C62)/C61</f>
        <v>8.4501658940110201E-4</v>
      </c>
      <c r="D63" s="859">
        <f t="shared" ref="D63:H63" si="13">SUM(D62)/D61</f>
        <v>1.1048282453247876E-3</v>
      </c>
      <c r="E63" s="859">
        <f t="shared" si="13"/>
        <v>6.5182134494848429E-4</v>
      </c>
      <c r="F63" s="859">
        <f t="shared" si="13"/>
        <v>7.6073619631901836E-4</v>
      </c>
      <c r="G63" s="859"/>
      <c r="H63" s="884">
        <f t="shared" si="13"/>
        <v>8.2662111606711147E-4</v>
      </c>
    </row>
    <row r="64" spans="1:8" ht="12.6" customHeight="1" x14ac:dyDescent="0.25">
      <c r="A64" s="420"/>
      <c r="B64" s="421"/>
      <c r="C64" s="422"/>
      <c r="D64" s="422"/>
      <c r="E64" s="422"/>
      <c r="F64" s="422"/>
      <c r="G64" s="422"/>
      <c r="H64" s="433"/>
    </row>
    <row r="65" spans="1:8" ht="12.6" customHeight="1" x14ac:dyDescent="0.25">
      <c r="A65" s="420"/>
      <c r="B65" s="421"/>
      <c r="C65" s="422"/>
      <c r="D65" s="422"/>
      <c r="E65" s="422"/>
      <c r="F65" s="422"/>
      <c r="G65" s="422"/>
      <c r="H65" s="433"/>
    </row>
    <row r="66" spans="1:8" ht="12.6" customHeight="1" thickBot="1" x14ac:dyDescent="0.3">
      <c r="A66" s="148"/>
      <c r="B66" s="59"/>
      <c r="C66" s="228"/>
      <c r="D66" s="228"/>
      <c r="E66" s="228"/>
      <c r="F66" s="228"/>
      <c r="G66" s="228"/>
      <c r="H66" s="434"/>
    </row>
    <row r="67" spans="1:8" ht="29.25" customHeight="1" x14ac:dyDescent="0.25">
      <c r="A67" s="190" t="s">
        <v>93</v>
      </c>
      <c r="B67" s="191" t="s">
        <v>92</v>
      </c>
      <c r="C67" s="880" t="s">
        <v>175</v>
      </c>
      <c r="D67" s="880" t="s">
        <v>95</v>
      </c>
      <c r="E67" s="880" t="s">
        <v>287</v>
      </c>
      <c r="F67" s="192" t="s">
        <v>301</v>
      </c>
      <c r="G67" s="448" t="s">
        <v>389</v>
      </c>
      <c r="H67" s="193" t="s">
        <v>53</v>
      </c>
    </row>
    <row r="68" spans="1:8" ht="12.9" customHeight="1" x14ac:dyDescent="0.25">
      <c r="A68" s="2616" t="s">
        <v>176</v>
      </c>
      <c r="B68" s="2617"/>
      <c r="C68" s="263"/>
      <c r="D68" s="263"/>
      <c r="E68" s="263"/>
      <c r="F68" s="263"/>
      <c r="G68" s="450"/>
      <c r="H68" s="1159"/>
    </row>
    <row r="69" spans="1:8" ht="12.9" customHeight="1" x14ac:dyDescent="0.25">
      <c r="A69" s="425" t="s">
        <v>284</v>
      </c>
      <c r="B69" s="429" t="s">
        <v>286</v>
      </c>
      <c r="C69" s="1278"/>
      <c r="D69" s="1278"/>
      <c r="E69" s="1278"/>
      <c r="F69" s="1325"/>
      <c r="G69" s="1326"/>
      <c r="H69" s="1327"/>
    </row>
    <row r="70" spans="1:8" ht="12.9" customHeight="1" thickBot="1" x14ac:dyDescent="0.3">
      <c r="A70" s="1221"/>
      <c r="B70" s="1156" t="s">
        <v>356</v>
      </c>
      <c r="C70" s="1315"/>
      <c r="D70" s="1315"/>
      <c r="E70" s="1315">
        <f>E34</f>
        <v>128943000</v>
      </c>
      <c r="F70" s="1328"/>
      <c r="G70" s="1329"/>
      <c r="H70" s="1330">
        <f t="shared" ref="H70:H79" si="14">SUM(C70:F70)</f>
        <v>128943000</v>
      </c>
    </row>
    <row r="71" spans="1:8" ht="0.15" customHeight="1" x14ac:dyDescent="0.25">
      <c r="A71" s="1220"/>
      <c r="B71" s="1152" t="s">
        <v>357</v>
      </c>
      <c r="C71" s="1278"/>
      <c r="D71" s="1278"/>
      <c r="E71" s="1278">
        <f>E35</f>
        <v>115708288</v>
      </c>
      <c r="F71" s="1331"/>
      <c r="G71" s="1332">
        <f>SUM(G35)</f>
        <v>183</v>
      </c>
      <c r="H71" s="1333">
        <f>SUM(C71:G71)</f>
        <v>115708471</v>
      </c>
    </row>
    <row r="72" spans="1:8" s="803" customFormat="1" ht="0.15" customHeight="1" thickBot="1" x14ac:dyDescent="0.3">
      <c r="A72" s="860"/>
      <c r="B72" s="848" t="s">
        <v>355</v>
      </c>
      <c r="C72" s="1285"/>
      <c r="D72" s="1285"/>
      <c r="E72" s="1285">
        <f>E36</f>
        <v>95669</v>
      </c>
      <c r="F72" s="1334"/>
      <c r="G72" s="1335"/>
      <c r="H72" s="1336">
        <f t="shared" ref="H72" si="15">SUM(C72:F72)</f>
        <v>95669</v>
      </c>
    </row>
    <row r="73" spans="1:8" ht="0.15" customHeight="1" x14ac:dyDescent="0.25">
      <c r="A73" s="578" t="s">
        <v>475</v>
      </c>
      <c r="B73" s="1101" t="s">
        <v>476</v>
      </c>
      <c r="C73" s="1288"/>
      <c r="D73" s="1288"/>
      <c r="E73" s="1288"/>
      <c r="F73" s="1288"/>
      <c r="G73" s="1288"/>
      <c r="H73" s="1289"/>
    </row>
    <row r="74" spans="1:8" ht="0.15" customHeight="1" x14ac:dyDescent="0.25">
      <c r="A74" s="808"/>
      <c r="B74" s="872" t="s">
        <v>356</v>
      </c>
      <c r="C74" s="1290"/>
      <c r="D74" s="1290"/>
      <c r="E74" s="1290"/>
      <c r="F74" s="1290"/>
      <c r="G74" s="1290"/>
      <c r="H74" s="1291"/>
    </row>
    <row r="75" spans="1:8" ht="0.15" customHeight="1" x14ac:dyDescent="0.25">
      <c r="A75" s="311"/>
      <c r="B75" s="312" t="s">
        <v>357</v>
      </c>
      <c r="C75" s="1292"/>
      <c r="D75" s="1292"/>
      <c r="E75" s="1292"/>
      <c r="F75" s="1292">
        <f t="shared" ref="F75:H75" si="16">SUM(F31)</f>
        <v>1127</v>
      </c>
      <c r="G75" s="1292"/>
      <c r="H75" s="1337">
        <f t="shared" si="16"/>
        <v>1127</v>
      </c>
    </row>
    <row r="76" spans="1:8" s="803" customFormat="1" ht="0.15" customHeight="1" thickBot="1" x14ac:dyDescent="0.3">
      <c r="A76" s="816"/>
      <c r="B76" s="848" t="s">
        <v>355</v>
      </c>
      <c r="C76" s="1294"/>
      <c r="D76" s="1294"/>
      <c r="E76" s="1294"/>
      <c r="F76" s="1294">
        <f>SUM(F32)</f>
        <v>519</v>
      </c>
      <c r="G76" s="1294"/>
      <c r="H76" s="1338">
        <f>SUM(F76)</f>
        <v>519</v>
      </c>
    </row>
    <row r="77" spans="1:8" ht="12.9" customHeight="1" x14ac:dyDescent="0.25">
      <c r="A77" s="2611" t="s">
        <v>180</v>
      </c>
      <c r="B77" s="2612"/>
      <c r="C77" s="1339"/>
      <c r="D77" s="1339"/>
      <c r="E77" s="1339"/>
      <c r="F77" s="1339"/>
      <c r="G77" s="1340"/>
      <c r="H77" s="1333"/>
    </row>
    <row r="78" spans="1:8" ht="12.9" customHeight="1" x14ac:dyDescent="0.25">
      <c r="A78" s="425" t="s">
        <v>230</v>
      </c>
      <c r="B78" s="426" t="s">
        <v>2</v>
      </c>
      <c r="C78" s="1278"/>
      <c r="D78" s="1278"/>
      <c r="E78" s="1278"/>
      <c r="F78" s="1278"/>
      <c r="G78" s="1279"/>
      <c r="H78" s="1327"/>
    </row>
    <row r="79" spans="1:8" ht="12.9" customHeight="1" thickBot="1" x14ac:dyDescent="0.3">
      <c r="A79" s="423"/>
      <c r="B79" s="872" t="s">
        <v>356</v>
      </c>
      <c r="C79" s="1290"/>
      <c r="D79" s="1290">
        <f>D26</f>
        <v>10180000</v>
      </c>
      <c r="E79" s="1290"/>
      <c r="F79" s="1341"/>
      <c r="G79" s="1342"/>
      <c r="H79" s="1343">
        <f t="shared" si="14"/>
        <v>10180000</v>
      </c>
    </row>
    <row r="80" spans="1:8" ht="0.15" customHeight="1" x14ac:dyDescent="0.25">
      <c r="A80" s="311"/>
      <c r="B80" s="312" t="s">
        <v>357</v>
      </c>
      <c r="C80" s="1292">
        <f>C27</f>
        <v>0</v>
      </c>
      <c r="D80" s="1292">
        <f>D27</f>
        <v>10180000</v>
      </c>
      <c r="E80" s="1292"/>
      <c r="F80" s="1292"/>
      <c r="G80" s="1296"/>
      <c r="H80" s="1327">
        <f>SUM(C80:F80)</f>
        <v>10180000</v>
      </c>
    </row>
    <row r="81" spans="1:8" s="803" customFormat="1" ht="0.15" customHeight="1" thickBot="1" x14ac:dyDescent="0.3">
      <c r="A81" s="881"/>
      <c r="B81" s="852" t="s">
        <v>355</v>
      </c>
      <c r="C81" s="1297"/>
      <c r="D81" s="1297">
        <f>D28</f>
        <v>8790</v>
      </c>
      <c r="E81" s="1297">
        <f>SUM(E28)</f>
        <v>-380</v>
      </c>
      <c r="F81" s="1297"/>
      <c r="G81" s="1298"/>
      <c r="H81" s="1344">
        <f>SUM(C81:F81)</f>
        <v>8410</v>
      </c>
    </row>
    <row r="82" spans="1:8" ht="12.9" customHeight="1" thickBot="1" x14ac:dyDescent="0.3">
      <c r="A82" s="2609" t="s">
        <v>96</v>
      </c>
      <c r="B82" s="2610"/>
      <c r="C82" s="1273"/>
      <c r="D82" s="1273"/>
      <c r="E82" s="1273"/>
      <c r="F82" s="1273"/>
      <c r="G82" s="1274"/>
      <c r="H82" s="1345"/>
    </row>
    <row r="83" spans="1:8" ht="12.9" customHeight="1" x14ac:dyDescent="0.25">
      <c r="A83" s="882"/>
      <c r="B83" s="883" t="s">
        <v>356</v>
      </c>
      <c r="C83" s="1346">
        <f t="shared" ref="C83:F83" si="17">C70+C79</f>
        <v>0</v>
      </c>
      <c r="D83" s="1346">
        <f t="shared" si="17"/>
        <v>10180000</v>
      </c>
      <c r="E83" s="1346">
        <f t="shared" si="17"/>
        <v>128943000</v>
      </c>
      <c r="F83" s="1346">
        <f t="shared" si="17"/>
        <v>0</v>
      </c>
      <c r="G83" s="1347">
        <f>SUM(G70)</f>
        <v>0</v>
      </c>
      <c r="H83" s="1348">
        <f>H70+H79</f>
        <v>139123000</v>
      </c>
    </row>
    <row r="84" spans="1:8" ht="0.15" customHeight="1" x14ac:dyDescent="0.25">
      <c r="A84" s="876"/>
      <c r="B84" s="877" t="s">
        <v>357</v>
      </c>
      <c r="C84" s="435">
        <f>C71+C80+C75</f>
        <v>0</v>
      </c>
      <c r="D84" s="435">
        <f t="shared" ref="D84:H84" si="18">D71+D80+D75</f>
        <v>10180000</v>
      </c>
      <c r="E84" s="435">
        <f t="shared" si="18"/>
        <v>115708288</v>
      </c>
      <c r="F84" s="435">
        <f t="shared" si="18"/>
        <v>1127</v>
      </c>
      <c r="G84" s="435">
        <f t="shared" si="18"/>
        <v>183</v>
      </c>
      <c r="H84" s="435">
        <f t="shared" si="18"/>
        <v>125889598</v>
      </c>
    </row>
    <row r="85" spans="1:8" s="803" customFormat="1" ht="0.15" customHeight="1" x14ac:dyDescent="0.25">
      <c r="A85" s="878"/>
      <c r="B85" s="879" t="s">
        <v>355</v>
      </c>
      <c r="C85" s="861">
        <f>C72+C81</f>
        <v>0</v>
      </c>
      <c r="D85" s="861">
        <f>D72+D81</f>
        <v>8790</v>
      </c>
      <c r="E85" s="861">
        <f>E72+E81</f>
        <v>95289</v>
      </c>
      <c r="F85" s="861">
        <f>SUM(F72+F76)</f>
        <v>519</v>
      </c>
      <c r="G85" s="862"/>
      <c r="H85" s="863">
        <f>H72+H81+H76</f>
        <v>104598</v>
      </c>
    </row>
    <row r="86" spans="1:8" s="803" customFormat="1" ht="12.6" customHeight="1" thickBot="1" x14ac:dyDescent="0.3">
      <c r="A86" s="864"/>
      <c r="B86" s="865" t="s">
        <v>427</v>
      </c>
      <c r="C86" s="866" t="e">
        <f>SUM(C85)/C84</f>
        <v>#DIV/0!</v>
      </c>
      <c r="D86" s="866">
        <f t="shared" ref="D86:H86" si="19">SUM(D85)/D84</f>
        <v>8.6345776031434185E-4</v>
      </c>
      <c r="E86" s="866">
        <f t="shared" si="19"/>
        <v>8.235278703630979E-4</v>
      </c>
      <c r="F86" s="866"/>
      <c r="G86" s="866"/>
      <c r="H86" s="867">
        <f t="shared" si="19"/>
        <v>8.3087087147581484E-4</v>
      </c>
    </row>
    <row r="87" spans="1:8" ht="12.6" customHeight="1" x14ac:dyDescent="0.25">
      <c r="B87" s="52"/>
      <c r="C87" s="52"/>
      <c r="D87" s="52"/>
      <c r="E87" s="52"/>
      <c r="F87" s="52"/>
      <c r="G87" s="52"/>
    </row>
    <row r="88" spans="1:8" ht="12.6" customHeight="1" x14ac:dyDescent="0.25">
      <c r="A88" s="53"/>
      <c r="B88" s="58"/>
      <c r="C88" s="58"/>
      <c r="D88" s="58"/>
      <c r="E88" s="58"/>
      <c r="F88" s="58"/>
      <c r="G88" s="58"/>
    </row>
    <row r="89" spans="1:8" ht="12.6" customHeight="1" x14ac:dyDescent="0.25"/>
  </sheetData>
  <mergeCells count="10">
    <mergeCell ref="A82:B82"/>
    <mergeCell ref="A77:B77"/>
    <mergeCell ref="A1:H1"/>
    <mergeCell ref="A43:H43"/>
    <mergeCell ref="A45:B45"/>
    <mergeCell ref="A68:B68"/>
    <mergeCell ref="A54:B54"/>
    <mergeCell ref="A18:B18"/>
    <mergeCell ref="A37:B37"/>
    <mergeCell ref="A59:B59"/>
  </mergeCells>
  <phoneticPr fontId="3" type="noConversion"/>
  <pageMargins left="0.7" right="0.7" top="0.75" bottom="0.75" header="0.3" footer="0.3"/>
  <pageSetup paperSize="9" scale="74" orientation="landscape" r:id="rId1"/>
  <headerFooter alignWithMargins="0">
    <oddHeader>&amp;A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0"/>
  <sheetViews>
    <sheetView topLeftCell="B1" workbookViewId="0">
      <selection activeCell="C1" sqref="C1:K10"/>
    </sheetView>
  </sheetViews>
  <sheetFormatPr defaultRowHeight="12.6" x14ac:dyDescent="0.25"/>
  <cols>
    <col min="1" max="1" width="0.88671875" style="3" hidden="1" customWidth="1"/>
    <col min="2" max="2" width="0.88671875" style="4" customWidth="1"/>
    <col min="3" max="3" width="32.109375" style="4" customWidth="1"/>
    <col min="4" max="4" width="31.6640625" customWidth="1"/>
    <col min="5" max="5" width="0.33203125" customWidth="1"/>
    <col min="6" max="6" width="0.109375" customWidth="1"/>
    <col min="7" max="7" width="38.33203125" style="1" hidden="1" customWidth="1"/>
    <col min="8" max="8" width="35.109375" style="1" customWidth="1"/>
    <col min="9" max="9" width="22" customWidth="1"/>
    <col min="10" max="10" width="0.109375" customWidth="1"/>
    <col min="11" max="11" width="0.33203125" customWidth="1"/>
    <col min="12" max="12" width="8.88671875" style="1" customWidth="1"/>
  </cols>
  <sheetData>
    <row r="1" spans="1:15" ht="18.600000000000001" thickBot="1" x14ac:dyDescent="0.4">
      <c r="A1" s="27" t="s">
        <v>22</v>
      </c>
      <c r="B1" s="27"/>
      <c r="C1" s="2550" t="s">
        <v>568</v>
      </c>
      <c r="D1" s="2551"/>
      <c r="E1" s="2551"/>
      <c r="F1" s="2551"/>
      <c r="G1" s="2551"/>
      <c r="H1" s="2551"/>
      <c r="I1" s="2551"/>
      <c r="J1" s="2551"/>
      <c r="K1" s="2552"/>
      <c r="L1" s="91"/>
    </row>
    <row r="2" spans="1:15" ht="18.600000000000001" thickBot="1" x14ac:dyDescent="0.4">
      <c r="A2" s="27"/>
      <c r="B2" s="27"/>
      <c r="C2" s="166"/>
      <c r="D2" s="96"/>
      <c r="E2" s="96"/>
      <c r="F2" s="97"/>
      <c r="G2" s="96"/>
      <c r="H2" s="109"/>
      <c r="I2" s="98"/>
      <c r="J2" s="98"/>
      <c r="K2" s="167"/>
      <c r="L2" s="91"/>
    </row>
    <row r="3" spans="1:15" ht="16.2" thickBot="1" x14ac:dyDescent="0.35">
      <c r="A3" s="4"/>
      <c r="C3" s="99"/>
      <c r="D3" s="490" t="s">
        <v>5</v>
      </c>
      <c r="E3" s="490"/>
      <c r="F3" s="100"/>
      <c r="G3" s="93"/>
      <c r="H3" s="93"/>
      <c r="I3" s="490" t="s">
        <v>108</v>
      </c>
      <c r="J3" s="490"/>
      <c r="K3" s="100"/>
      <c r="L3" s="91"/>
    </row>
    <row r="4" spans="1:15" ht="3" customHeight="1" x14ac:dyDescent="0.3">
      <c r="A4" s="4"/>
      <c r="C4" s="103"/>
      <c r="D4" s="104"/>
      <c r="E4" s="104"/>
      <c r="F4" s="105"/>
      <c r="G4" s="106"/>
      <c r="H4" s="108"/>
      <c r="I4" s="104"/>
      <c r="J4" s="395"/>
      <c r="K4" s="60"/>
      <c r="L4" s="91"/>
    </row>
    <row r="5" spans="1:15" ht="15" customHeight="1" x14ac:dyDescent="0.3">
      <c r="A5" s="4"/>
      <c r="C5" s="885"/>
      <c r="D5" s="497" t="s">
        <v>367</v>
      </c>
      <c r="E5" s="497"/>
      <c r="F5" s="610"/>
      <c r="G5" s="217"/>
      <c r="H5" s="498"/>
      <c r="I5" s="497" t="s">
        <v>367</v>
      </c>
      <c r="J5" s="497"/>
      <c r="K5" s="610"/>
      <c r="L5" s="91"/>
    </row>
    <row r="6" spans="1:15" ht="15" customHeight="1" x14ac:dyDescent="0.3">
      <c r="A6" s="4"/>
      <c r="C6" s="615" t="s">
        <v>584</v>
      </c>
      <c r="D6" s="616">
        <v>1000000</v>
      </c>
      <c r="E6" s="616"/>
      <c r="F6" s="617"/>
      <c r="G6" s="217"/>
      <c r="H6" s="619" t="s">
        <v>517</v>
      </c>
      <c r="I6" s="1395">
        <v>500000</v>
      </c>
      <c r="J6" s="496">
        <f t="shared" ref="J6" si="0">SUM(I6)</f>
        <v>500000</v>
      </c>
      <c r="K6" s="618">
        <v>14</v>
      </c>
      <c r="L6" s="91"/>
      <c r="O6" s="601"/>
    </row>
    <row r="7" spans="1:15" ht="15" customHeight="1" x14ac:dyDescent="0.3">
      <c r="A7" s="4"/>
      <c r="C7" s="615"/>
      <c r="D7" s="616"/>
      <c r="E7" s="616"/>
      <c r="F7" s="617"/>
      <c r="G7" s="217"/>
      <c r="H7" s="2471" t="s">
        <v>621</v>
      </c>
      <c r="I7" s="1395">
        <f>1349000+100000+1000000</f>
        <v>2449000</v>
      </c>
      <c r="J7" s="2451"/>
      <c r="K7" s="618"/>
      <c r="L7" s="91"/>
      <c r="O7" s="601"/>
    </row>
    <row r="8" spans="1:15" ht="15" customHeight="1" thickBot="1" x14ac:dyDescent="0.35">
      <c r="A8" s="4"/>
      <c r="C8" s="611"/>
      <c r="D8" s="612"/>
      <c r="E8" s="612"/>
      <c r="F8" s="613"/>
      <c r="G8" s="217"/>
      <c r="H8" s="2472" t="s">
        <v>542</v>
      </c>
      <c r="I8" s="1396">
        <v>800000</v>
      </c>
      <c r="J8" s="921"/>
      <c r="K8" s="614">
        <v>24</v>
      </c>
      <c r="L8" s="91"/>
      <c r="O8" s="601"/>
    </row>
    <row r="9" spans="1:15" ht="15" customHeight="1" thickBot="1" x14ac:dyDescent="0.35">
      <c r="A9"/>
      <c r="B9" s="334"/>
      <c r="C9" s="101" t="s">
        <v>53</v>
      </c>
      <c r="D9" s="394">
        <f>SUM(D6:D8)</f>
        <v>1000000</v>
      </c>
      <c r="E9" s="220">
        <f>SUM(E6:E8)</f>
        <v>0</v>
      </c>
      <c r="F9" s="394"/>
      <c r="G9" s="221"/>
      <c r="H9" s="492"/>
      <c r="I9" s="396">
        <f>SUM(I6:I8)</f>
        <v>3749000</v>
      </c>
      <c r="J9" s="396">
        <f>SUM(J6:J8)</f>
        <v>500000</v>
      </c>
      <c r="K9" s="215">
        <f>SUM(K6:K8)</f>
        <v>38</v>
      </c>
      <c r="L9" s="91"/>
      <c r="O9" s="601"/>
    </row>
    <row r="10" spans="1:15" ht="15" customHeight="1" thickBot="1" x14ac:dyDescent="0.35">
      <c r="A10"/>
      <c r="B10"/>
      <c r="C10" s="397" t="s">
        <v>368</v>
      </c>
      <c r="D10" s="267"/>
      <c r="E10" s="221"/>
      <c r="F10" s="222"/>
      <c r="G10" s="222"/>
      <c r="H10" s="398"/>
      <c r="I10" s="493">
        <f>SUM(I9+D9)</f>
        <v>4749000</v>
      </c>
      <c r="J10" s="494"/>
      <c r="K10" s="216">
        <f>SUM(D9+I9)</f>
        <v>4749000</v>
      </c>
      <c r="L10" s="91"/>
      <c r="O10" s="601"/>
    </row>
    <row r="11" spans="1:15" ht="0.15" customHeight="1" thickBot="1" x14ac:dyDescent="0.35">
      <c r="A11"/>
      <c r="B11"/>
      <c r="C11" s="397" t="s">
        <v>369</v>
      </c>
      <c r="D11" s="267"/>
      <c r="E11" s="221"/>
      <c r="F11" s="222"/>
      <c r="G11" s="222"/>
      <c r="H11" s="398"/>
      <c r="I11" s="222"/>
      <c r="J11" s="494">
        <f>SUM(J9+E9)</f>
        <v>500000</v>
      </c>
      <c r="K11" s="216">
        <f>SUM(E9+J9)</f>
        <v>500000</v>
      </c>
      <c r="L11" s="91"/>
      <c r="O11" s="601"/>
    </row>
    <row r="12" spans="1:15" s="780" customFormat="1" ht="0.15" customHeight="1" thickBot="1" x14ac:dyDescent="0.35">
      <c r="C12" s="931" t="s">
        <v>431</v>
      </c>
      <c r="D12" s="924"/>
      <c r="E12" s="923"/>
      <c r="F12" s="925"/>
      <c r="G12" s="925"/>
      <c r="H12" s="926"/>
      <c r="I12" s="925"/>
      <c r="J12" s="927"/>
      <c r="K12" s="928">
        <f>SUM(K9+F9)</f>
        <v>38</v>
      </c>
      <c r="L12" s="932"/>
    </row>
    <row r="13" spans="1:15" s="21" customFormat="1" ht="15" customHeight="1" thickBot="1" x14ac:dyDescent="0.4">
      <c r="A13" s="20" t="s">
        <v>6</v>
      </c>
      <c r="B13" s="20"/>
      <c r="C13"/>
      <c r="D13"/>
      <c r="E13"/>
      <c r="F13" s="28"/>
      <c r="G13" s="29"/>
      <c r="H13" s="29"/>
      <c r="I13"/>
      <c r="J13"/>
      <c r="K13" s="606">
        <f>SUM(K12/K11)</f>
        <v>7.6000000000000004E-5</v>
      </c>
      <c r="L13" s="22"/>
    </row>
    <row r="14" spans="1:15" ht="15" customHeight="1" x14ac:dyDescent="0.35">
      <c r="A14"/>
      <c r="B14"/>
      <c r="C14" s="20"/>
      <c r="D14" s="21"/>
      <c r="E14" s="21"/>
      <c r="F14" s="6"/>
    </row>
    <row r="15" spans="1:15" x14ac:dyDescent="0.25">
      <c r="C15"/>
      <c r="D15" s="1"/>
      <c r="E15" s="1"/>
      <c r="F15" s="17"/>
      <c r="G15"/>
      <c r="H15"/>
    </row>
    <row r="16" spans="1:15" x14ac:dyDescent="0.25">
      <c r="A16" s="5"/>
      <c r="B16" s="5"/>
    </row>
    <row r="17" spans="1:3" x14ac:dyDescent="0.25">
      <c r="A17" s="7"/>
      <c r="B17" s="7"/>
      <c r="C17" s="5"/>
    </row>
    <row r="18" spans="1:3" x14ac:dyDescent="0.25">
      <c r="A18" s="7"/>
      <c r="B18" s="7"/>
      <c r="C18" s="7"/>
    </row>
    <row r="19" spans="1:3" x14ac:dyDescent="0.25">
      <c r="A19" s="7"/>
      <c r="B19" s="7"/>
      <c r="C19" s="7"/>
    </row>
    <row r="20" spans="1:3" x14ac:dyDescent="0.25">
      <c r="A20" s="7"/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x14ac:dyDescent="0.25">
      <c r="A23" s="7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  <row r="30" spans="1:3" x14ac:dyDescent="0.25">
      <c r="A30" s="7"/>
      <c r="B30" s="7"/>
      <c r="C30" s="7"/>
    </row>
    <row r="31" spans="1:3" x14ac:dyDescent="0.25">
      <c r="A31" s="7"/>
      <c r="B31" s="7"/>
      <c r="C31" s="7"/>
    </row>
    <row r="32" spans="1:3" x14ac:dyDescent="0.25">
      <c r="A32" s="7"/>
      <c r="B32" s="7"/>
      <c r="C32" s="7"/>
    </row>
    <row r="33" spans="1:12" x14ac:dyDescent="0.25">
      <c r="A33" s="7"/>
      <c r="B33" s="7"/>
      <c r="C33" s="7"/>
    </row>
    <row r="34" spans="1:12" x14ac:dyDescent="0.25">
      <c r="A34" s="7"/>
      <c r="B34" s="7"/>
      <c r="C34" s="7"/>
    </row>
    <row r="35" spans="1:12" x14ac:dyDescent="0.25">
      <c r="A35" s="6"/>
      <c r="B35" s="6"/>
      <c r="C35" s="7"/>
    </row>
    <row r="36" spans="1:12" x14ac:dyDescent="0.25">
      <c r="A36" s="1"/>
      <c r="B36" s="1"/>
      <c r="C36" s="6"/>
    </row>
    <row r="37" spans="1:12" x14ac:dyDescent="0.25">
      <c r="A37" s="18"/>
      <c r="B37" s="18"/>
      <c r="C37" s="1"/>
    </row>
    <row r="38" spans="1:12" x14ac:dyDescent="0.25">
      <c r="A38" s="18"/>
      <c r="B38" s="18"/>
      <c r="C38" s="18"/>
    </row>
    <row r="39" spans="1:12" x14ac:dyDescent="0.25">
      <c r="A39" s="18"/>
      <c r="B39" s="18"/>
      <c r="C39" s="18"/>
    </row>
    <row r="40" spans="1:12" s="2" customFormat="1" ht="15.6" x14ac:dyDescent="0.35">
      <c r="A40" s="19"/>
      <c r="B40" s="19"/>
      <c r="C40" s="18"/>
      <c r="D40"/>
      <c r="E40"/>
      <c r="F40"/>
      <c r="G40" s="1"/>
      <c r="H40" s="1"/>
      <c r="I40"/>
      <c r="J40"/>
      <c r="K40"/>
      <c r="L40" s="1"/>
    </row>
    <row r="41" spans="1:12" ht="15.6" x14ac:dyDescent="0.35">
      <c r="A41" s="18"/>
      <c r="B41" s="18"/>
      <c r="C41" s="19"/>
    </row>
    <row r="42" spans="1:12" x14ac:dyDescent="0.25">
      <c r="A42"/>
      <c r="B42"/>
      <c r="C42" s="18"/>
    </row>
    <row r="43" spans="1:12" x14ac:dyDescent="0.25">
      <c r="A43"/>
      <c r="B43"/>
      <c r="C43"/>
    </row>
    <row r="44" spans="1:12" x14ac:dyDescent="0.25">
      <c r="A44"/>
      <c r="B44"/>
      <c r="C44"/>
    </row>
    <row r="45" spans="1:12" x14ac:dyDescent="0.25">
      <c r="A45"/>
      <c r="B45"/>
      <c r="C45"/>
    </row>
    <row r="46" spans="1:12" x14ac:dyDescent="0.25">
      <c r="A46"/>
      <c r="B46"/>
      <c r="C46"/>
    </row>
    <row r="47" spans="1:12" x14ac:dyDescent="0.25">
      <c r="A47" s="18"/>
      <c r="B47" s="18"/>
      <c r="C47"/>
    </row>
    <row r="48" spans="1:12" x14ac:dyDescent="0.25">
      <c r="A48" s="18"/>
      <c r="B48" s="18"/>
      <c r="C48" s="18"/>
    </row>
    <row r="49" spans="1:12" ht="15.6" x14ac:dyDescent="0.35">
      <c r="A49" s="18"/>
      <c r="B49" s="18"/>
      <c r="C49" s="18"/>
      <c r="L49" s="2"/>
    </row>
    <row r="50" spans="1:12" x14ac:dyDescent="0.25">
      <c r="A50" s="18"/>
      <c r="B50" s="18"/>
      <c r="C50" s="18"/>
    </row>
    <row r="51" spans="1:12" x14ac:dyDescent="0.25">
      <c r="A51" s="18"/>
      <c r="B51" s="18"/>
      <c r="C51" s="18"/>
    </row>
    <row r="52" spans="1:12" x14ac:dyDescent="0.25">
      <c r="A52" s="4"/>
      <c r="C52" s="18"/>
    </row>
    <row r="53" spans="1:12" x14ac:dyDescent="0.25">
      <c r="A53" s="4"/>
    </row>
    <row r="54" spans="1:12" x14ac:dyDescent="0.25">
      <c r="A54" s="4"/>
    </row>
    <row r="55" spans="1:12" x14ac:dyDescent="0.25">
      <c r="A55" s="24"/>
    </row>
    <row r="56" spans="1:12" x14ac:dyDescent="0.25">
      <c r="A56" s="24"/>
    </row>
    <row r="57" spans="1:12" x14ac:dyDescent="0.25">
      <c r="A57" s="24"/>
    </row>
    <row r="58" spans="1:12" x14ac:dyDescent="0.25">
      <c r="A58" s="24"/>
    </row>
    <row r="59" spans="1:12" x14ac:dyDescent="0.25">
      <c r="A59" s="24"/>
    </row>
    <row r="60" spans="1:12" x14ac:dyDescent="0.25">
      <c r="A60" s="24"/>
    </row>
    <row r="61" spans="1:12" x14ac:dyDescent="0.25">
      <c r="A61" s="24"/>
    </row>
    <row r="62" spans="1:12" x14ac:dyDescent="0.25">
      <c r="A62" s="24"/>
    </row>
    <row r="63" spans="1:12" x14ac:dyDescent="0.25">
      <c r="A63" s="24"/>
    </row>
    <row r="64" spans="1:12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  <row r="76" spans="1:1" x14ac:dyDescent="0.25">
      <c r="A76" s="24"/>
    </row>
    <row r="77" spans="1:1" x14ac:dyDescent="0.25">
      <c r="A77" s="24"/>
    </row>
    <row r="78" spans="1:1" x14ac:dyDescent="0.25">
      <c r="A78" s="24"/>
    </row>
    <row r="79" spans="1:1" x14ac:dyDescent="0.25">
      <c r="A79" s="24"/>
    </row>
    <row r="80" spans="1:1" x14ac:dyDescent="0.25">
      <c r="A80" s="24"/>
    </row>
    <row r="81" spans="1:1" x14ac:dyDescent="0.25">
      <c r="A81" s="24"/>
    </row>
    <row r="82" spans="1:1" x14ac:dyDescent="0.25">
      <c r="A82" s="24"/>
    </row>
    <row r="83" spans="1:1" x14ac:dyDescent="0.25">
      <c r="A83" s="24"/>
    </row>
    <row r="84" spans="1:1" x14ac:dyDescent="0.25">
      <c r="A84" s="24"/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3"/>
    </row>
    <row r="89" spans="1:1" x14ac:dyDescent="0.25">
      <c r="A89" s="23"/>
    </row>
    <row r="90" spans="1:1" x14ac:dyDescent="0.25">
      <c r="A90" s="23"/>
    </row>
  </sheetData>
  <mergeCells count="1">
    <mergeCell ref="C1:K1"/>
  </mergeCells>
  <pageMargins left="0.70866141732283472" right="0.70866141732283472" top="0.74803149606299213" bottom="0.74803149606299213" header="0.31496062992125984" footer="0.31496062992125984"/>
  <pageSetup paperSize="9" scale="8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7">
    <pageSetUpPr fitToPage="1"/>
  </sheetPr>
  <dimension ref="A1:K103"/>
  <sheetViews>
    <sheetView topLeftCell="A38" workbookViewId="0">
      <selection activeCell="A51" sqref="A51:G99"/>
    </sheetView>
  </sheetViews>
  <sheetFormatPr defaultColWidth="9.109375" defaultRowHeight="12.6" x14ac:dyDescent="0.25"/>
  <cols>
    <col min="1" max="1" width="12.6640625" style="1606" customWidth="1"/>
    <col min="2" max="2" width="39.5546875" style="1487" customWidth="1"/>
    <col min="3" max="7" width="12.6640625" style="1487" customWidth="1"/>
    <col min="8" max="8" width="9.109375" style="1487"/>
    <col min="9" max="10" width="10.88671875" style="1487" bestFit="1" customWidth="1"/>
    <col min="11" max="16384" width="9.109375" style="1487"/>
  </cols>
  <sheetData>
    <row r="1" spans="1:8" ht="35.25" customHeight="1" thickBot="1" x14ac:dyDescent="0.4">
      <c r="A1" s="2625" t="s">
        <v>569</v>
      </c>
      <c r="B1" s="2626"/>
      <c r="C1" s="2626"/>
      <c r="D1" s="2626"/>
      <c r="E1" s="2626"/>
      <c r="F1" s="2626"/>
      <c r="G1" s="2627"/>
    </row>
    <row r="2" spans="1:8" ht="0.75" customHeight="1" x14ac:dyDescent="0.35">
      <c r="A2" s="1488"/>
      <c r="B2" s="1489"/>
      <c r="G2" s="1922"/>
    </row>
    <row r="3" spans="1:8" ht="0.75" customHeight="1" x14ac:dyDescent="0.25">
      <c r="A3" s="1490"/>
      <c r="G3" s="1922"/>
    </row>
    <row r="4" spans="1:8" ht="0.75" customHeight="1" x14ac:dyDescent="0.25">
      <c r="A4" s="1490"/>
      <c r="G4" s="1922"/>
      <c r="H4" s="1487" t="s">
        <v>52</v>
      </c>
    </row>
    <row r="5" spans="1:8" ht="31.5" customHeight="1" x14ac:dyDescent="0.25">
      <c r="A5" s="1923" t="s">
        <v>229</v>
      </c>
      <c r="B5" s="1924" t="s">
        <v>238</v>
      </c>
      <c r="C5" s="1925" t="s">
        <v>57</v>
      </c>
      <c r="D5" s="1925" t="s">
        <v>90</v>
      </c>
      <c r="E5" s="1925" t="s">
        <v>91</v>
      </c>
      <c r="F5" s="1925" t="s">
        <v>315</v>
      </c>
      <c r="G5" s="1926" t="s">
        <v>53</v>
      </c>
    </row>
    <row r="6" spans="1:8" ht="12.9" customHeight="1" x14ac:dyDescent="0.25">
      <c r="A6" s="1550" t="s">
        <v>232</v>
      </c>
      <c r="B6" s="1927" t="s">
        <v>233</v>
      </c>
      <c r="C6" s="1928"/>
      <c r="D6" s="1928"/>
      <c r="E6" s="1928"/>
      <c r="F6" s="1928"/>
      <c r="G6" s="1929"/>
    </row>
    <row r="7" spans="1:8" ht="12.9" customHeight="1" thickBot="1" x14ac:dyDescent="0.3">
      <c r="A7" s="1553"/>
      <c r="B7" s="1930" t="s">
        <v>356</v>
      </c>
      <c r="C7" s="1931">
        <f>113839000+1125000</f>
        <v>114964000</v>
      </c>
      <c r="D7" s="1931">
        <f>23700000+219000</f>
        <v>23919000</v>
      </c>
      <c r="E7" s="1931">
        <v>2425000</v>
      </c>
      <c r="F7" s="1931">
        <f>'14.a.sz. melléklet'!I6+'14.a.sz. melléklet'!I8+'14.a.sz. melléklet'!I11+'14.a.sz. melléklet'!I12+'14.a.sz. melléklet'!I13+'14.a.sz. melléklet'!I16+'14.a.sz. melléklet'!I17</f>
        <v>2090000</v>
      </c>
      <c r="G7" s="1932">
        <f t="shared" ref="G7:G21" si="0">SUM(C7:F7)</f>
        <v>143398000</v>
      </c>
    </row>
    <row r="8" spans="1:8" ht="0.15" customHeight="1" x14ac:dyDescent="0.25">
      <c r="A8" s="1933"/>
      <c r="B8" s="1934" t="s">
        <v>357</v>
      </c>
      <c r="C8" s="1928">
        <f>SUM(C7)+91+47</f>
        <v>114964138</v>
      </c>
      <c r="D8" s="1928">
        <f>SUM(D7)+25+12</f>
        <v>23919037</v>
      </c>
      <c r="E8" s="1928">
        <f t="shared" ref="E8:F8" si="1">SUM(E7)</f>
        <v>2425000</v>
      </c>
      <c r="F8" s="1928">
        <f t="shared" si="1"/>
        <v>2090000</v>
      </c>
      <c r="G8" s="1935">
        <f t="shared" si="0"/>
        <v>143398175</v>
      </c>
    </row>
    <row r="9" spans="1:8" s="1409" customFormat="1" ht="0.15" customHeight="1" thickBot="1" x14ac:dyDescent="0.3">
      <c r="A9" s="1936"/>
      <c r="B9" s="1937" t="s">
        <v>355</v>
      </c>
      <c r="C9" s="1938">
        <v>57171</v>
      </c>
      <c r="D9" s="1938">
        <v>16061</v>
      </c>
      <c r="E9" s="1938">
        <v>1910</v>
      </c>
      <c r="F9" s="1938"/>
      <c r="G9" s="1939">
        <f t="shared" si="0"/>
        <v>75142</v>
      </c>
    </row>
    <row r="10" spans="1:8" ht="23.25" customHeight="1" x14ac:dyDescent="0.25">
      <c r="A10" s="1550" t="s">
        <v>236</v>
      </c>
      <c r="B10" s="1927" t="s">
        <v>377</v>
      </c>
      <c r="C10" s="1928"/>
      <c r="D10" s="1928"/>
      <c r="E10" s="1928"/>
      <c r="F10" s="1928"/>
      <c r="G10" s="1935"/>
    </row>
    <row r="11" spans="1:8" ht="12.9" customHeight="1" thickBot="1" x14ac:dyDescent="0.3">
      <c r="A11" s="1553"/>
      <c r="B11" s="1930" t="s">
        <v>356</v>
      </c>
      <c r="C11" s="1931"/>
      <c r="D11" s="1931">
        <v>197000</v>
      </c>
      <c r="E11" s="1931">
        <v>1008000</v>
      </c>
      <c r="F11" s="1931"/>
      <c r="G11" s="1932">
        <f t="shared" si="0"/>
        <v>1205000</v>
      </c>
    </row>
    <row r="12" spans="1:8" ht="0.15" customHeight="1" x14ac:dyDescent="0.25">
      <c r="A12" s="1933"/>
      <c r="B12" s="1934" t="s">
        <v>357</v>
      </c>
      <c r="C12" s="1928"/>
      <c r="D12" s="1928">
        <f>SUM(D11)</f>
        <v>197000</v>
      </c>
      <c r="E12" s="1928">
        <f>SUM(E11)</f>
        <v>1008000</v>
      </c>
      <c r="F12" s="1928"/>
      <c r="G12" s="1935">
        <f t="shared" si="0"/>
        <v>1205000</v>
      </c>
    </row>
    <row r="13" spans="1:8" s="1409" customFormat="1" ht="0.15" customHeight="1" thickBot="1" x14ac:dyDescent="0.3">
      <c r="A13" s="1936"/>
      <c r="B13" s="1937" t="s">
        <v>355</v>
      </c>
      <c r="C13" s="1938"/>
      <c r="D13" s="1938"/>
      <c r="E13" s="1938"/>
      <c r="F13" s="1938"/>
      <c r="G13" s="1939">
        <f t="shared" si="0"/>
        <v>0</v>
      </c>
    </row>
    <row r="14" spans="1:8" ht="12.9" customHeight="1" x14ac:dyDescent="0.25">
      <c r="A14" s="1550" t="s">
        <v>234</v>
      </c>
      <c r="B14" s="1927" t="s">
        <v>235</v>
      </c>
      <c r="C14" s="1928"/>
      <c r="D14" s="1928"/>
      <c r="E14" s="1928"/>
      <c r="F14" s="1928"/>
      <c r="G14" s="1935"/>
    </row>
    <row r="15" spans="1:8" ht="12.9" customHeight="1" thickBot="1" x14ac:dyDescent="0.3">
      <c r="A15" s="1553"/>
      <c r="B15" s="1930" t="s">
        <v>356</v>
      </c>
      <c r="C15" s="1931">
        <v>2438000</v>
      </c>
      <c r="D15" s="1931">
        <v>591000</v>
      </c>
      <c r="E15" s="1931">
        <v>18387000</v>
      </c>
      <c r="F15" s="1931">
        <f>'14.a.sz. melléklet'!I7+'14.a.sz. melléklet'!I9+'14.a.sz. melléklet'!I14</f>
        <v>3886000</v>
      </c>
      <c r="G15" s="1932">
        <f t="shared" si="0"/>
        <v>25302000</v>
      </c>
    </row>
    <row r="16" spans="1:8" ht="0.15" customHeight="1" x14ac:dyDescent="0.25">
      <c r="A16" s="1933"/>
      <c r="B16" s="1934" t="s">
        <v>357</v>
      </c>
      <c r="C16" s="1928">
        <f>SUM(C15)</f>
        <v>2438000</v>
      </c>
      <c r="D16" s="1928">
        <f t="shared" ref="D16:F16" si="2">SUM(D15)</f>
        <v>591000</v>
      </c>
      <c r="E16" s="1928">
        <f t="shared" si="2"/>
        <v>18387000</v>
      </c>
      <c r="F16" s="1928">
        <f t="shared" si="2"/>
        <v>3886000</v>
      </c>
      <c r="G16" s="1935">
        <f t="shared" si="0"/>
        <v>25302000</v>
      </c>
    </row>
    <row r="17" spans="1:11" s="1409" customFormat="1" ht="0.15" customHeight="1" thickBot="1" x14ac:dyDescent="0.3">
      <c r="A17" s="1936"/>
      <c r="B17" s="1937" t="s">
        <v>355</v>
      </c>
      <c r="C17" s="1938">
        <v>1292</v>
      </c>
      <c r="D17" s="1938">
        <v>509</v>
      </c>
      <c r="E17" s="1938">
        <v>5124</v>
      </c>
      <c r="F17" s="1938">
        <v>1521</v>
      </c>
      <c r="G17" s="1939">
        <f t="shared" si="0"/>
        <v>8446</v>
      </c>
    </row>
    <row r="18" spans="1:11" ht="12.9" customHeight="1" x14ac:dyDescent="0.25">
      <c r="A18" s="1550" t="s">
        <v>387</v>
      </c>
      <c r="B18" s="1927" t="s">
        <v>388</v>
      </c>
      <c r="C18" s="1928"/>
      <c r="D18" s="1928"/>
      <c r="E18" s="1928"/>
      <c r="F18" s="1928"/>
      <c r="G18" s="1935"/>
    </row>
    <row r="19" spans="1:11" ht="12.9" customHeight="1" thickBot="1" x14ac:dyDescent="0.3">
      <c r="A19" s="1940"/>
      <c r="B19" s="1934" t="s">
        <v>356</v>
      </c>
      <c r="C19" s="1941">
        <v>4514000</v>
      </c>
      <c r="D19" s="1941">
        <v>915000</v>
      </c>
      <c r="E19" s="1941">
        <v>25739000</v>
      </c>
      <c r="F19" s="1941">
        <f>'14.a.sz. melléklet'!I15</f>
        <v>80000</v>
      </c>
      <c r="G19" s="1935">
        <f t="shared" si="0"/>
        <v>31248000</v>
      </c>
    </row>
    <row r="20" spans="1:11" ht="0.15" customHeight="1" x14ac:dyDescent="0.25">
      <c r="A20" s="1940"/>
      <c r="B20" s="1934" t="s">
        <v>357</v>
      </c>
      <c r="C20" s="1942"/>
      <c r="D20" s="1942"/>
      <c r="E20" s="1942">
        <f>SUM(E19)</f>
        <v>25739000</v>
      </c>
      <c r="F20" s="1942"/>
      <c r="G20" s="1935">
        <f t="shared" si="0"/>
        <v>25739000</v>
      </c>
    </row>
    <row r="21" spans="1:11" s="1409" customFormat="1" ht="0.15" customHeight="1" thickBot="1" x14ac:dyDescent="0.3">
      <c r="A21" s="1936"/>
      <c r="B21" s="1943" t="s">
        <v>355</v>
      </c>
      <c r="C21" s="1944"/>
      <c r="D21" s="1944"/>
      <c r="E21" s="1944">
        <v>13844</v>
      </c>
      <c r="F21" s="1944"/>
      <c r="G21" s="1945">
        <f t="shared" si="0"/>
        <v>13844</v>
      </c>
    </row>
    <row r="22" spans="1:11" ht="12.9" customHeight="1" thickBot="1" x14ac:dyDescent="0.3">
      <c r="A22" s="2632" t="s">
        <v>94</v>
      </c>
      <c r="B22" s="2633"/>
      <c r="C22" s="1946"/>
      <c r="D22" s="1946"/>
      <c r="E22" s="1946"/>
      <c r="F22" s="1946"/>
      <c r="G22" s="1947"/>
      <c r="H22" s="1948"/>
    </row>
    <row r="23" spans="1:11" ht="12.9" customHeight="1" thickBot="1" x14ac:dyDescent="0.3">
      <c r="A23" s="1949"/>
      <c r="B23" s="1950" t="s">
        <v>356</v>
      </c>
      <c r="C23" s="1951">
        <f>C7+C11+C15+C19</f>
        <v>121916000</v>
      </c>
      <c r="D23" s="1951">
        <f t="shared" ref="D23:E23" si="3">D7+D11+D15+D19</f>
        <v>25622000</v>
      </c>
      <c r="E23" s="1951">
        <f t="shared" si="3"/>
        <v>47559000</v>
      </c>
      <c r="F23" s="1951">
        <f>F7+F11+F15+F19</f>
        <v>6056000</v>
      </c>
      <c r="G23" s="1951">
        <f>G7+G11+G15+G19</f>
        <v>201153000</v>
      </c>
      <c r="H23" s="1948"/>
      <c r="I23" s="2473"/>
      <c r="J23" s="2473"/>
    </row>
    <row r="24" spans="1:11" ht="0.15" customHeight="1" x14ac:dyDescent="0.25">
      <c r="A24" s="1952"/>
      <c r="B24" s="1953" t="s">
        <v>357</v>
      </c>
      <c r="C24" s="1954">
        <f t="shared" ref="C24:G25" si="4">C8+C12+C16+C20</f>
        <v>117402138</v>
      </c>
      <c r="D24" s="1954">
        <f t="shared" si="4"/>
        <v>24707037</v>
      </c>
      <c r="E24" s="1954">
        <f t="shared" si="4"/>
        <v>47559000</v>
      </c>
      <c r="F24" s="1954">
        <f t="shared" si="4"/>
        <v>5976000</v>
      </c>
      <c r="G24" s="1955">
        <f t="shared" si="4"/>
        <v>195644175</v>
      </c>
      <c r="H24" s="1948"/>
    </row>
    <row r="25" spans="1:11" s="1409" customFormat="1" ht="0.15" customHeight="1" x14ac:dyDescent="0.25">
      <c r="A25" s="1956"/>
      <c r="B25" s="1957" t="s">
        <v>355</v>
      </c>
      <c r="C25" s="1958">
        <f t="shared" si="4"/>
        <v>58463</v>
      </c>
      <c r="D25" s="1958">
        <f>D9+D13+D17+D21</f>
        <v>16570</v>
      </c>
      <c r="E25" s="1958">
        <f t="shared" si="4"/>
        <v>20878</v>
      </c>
      <c r="F25" s="1958">
        <f t="shared" si="4"/>
        <v>1521</v>
      </c>
      <c r="G25" s="1959">
        <f>G9+G13+G17+G21</f>
        <v>97432</v>
      </c>
      <c r="H25" s="1960"/>
    </row>
    <row r="26" spans="1:11" s="1409" customFormat="1" ht="0.15" customHeight="1" thickBot="1" x14ac:dyDescent="0.3">
      <c r="A26" s="1961"/>
      <c r="B26" s="1962" t="s">
        <v>427</v>
      </c>
      <c r="C26" s="1963">
        <f>SUM(C25)/C24</f>
        <v>4.9797219195445999E-4</v>
      </c>
      <c r="D26" s="1963">
        <f t="shared" ref="D26:G26" si="5">SUM(D25)/D24</f>
        <v>6.7065913245687857E-4</v>
      </c>
      <c r="E26" s="1963">
        <f t="shared" si="5"/>
        <v>4.3899156836771169E-4</v>
      </c>
      <c r="F26" s="1963">
        <f t="shared" si="5"/>
        <v>2.5451807228915661E-4</v>
      </c>
      <c r="G26" s="1964">
        <f t="shared" si="5"/>
        <v>4.9800613792871679E-4</v>
      </c>
      <c r="H26" s="1960"/>
      <c r="K26" s="1965"/>
    </row>
    <row r="27" spans="1:11" ht="12.6" customHeight="1" x14ac:dyDescent="0.25">
      <c r="A27" s="1491"/>
      <c r="B27" s="1492"/>
      <c r="C27" s="1948"/>
      <c r="D27" s="1948"/>
      <c r="E27" s="1948"/>
      <c r="F27" s="1948"/>
      <c r="G27" s="1966"/>
    </row>
    <row r="28" spans="1:11" ht="31.5" customHeight="1" x14ac:dyDescent="0.25">
      <c r="A28" s="1923" t="s">
        <v>229</v>
      </c>
      <c r="B28" s="1924" t="s">
        <v>238</v>
      </c>
      <c r="C28" s="1967" t="s">
        <v>95</v>
      </c>
      <c r="D28" s="1967" t="s">
        <v>97</v>
      </c>
      <c r="E28" s="1967" t="s">
        <v>288</v>
      </c>
      <c r="F28" s="1967" t="s">
        <v>389</v>
      </c>
      <c r="G28" s="1968"/>
    </row>
    <row r="29" spans="1:11" ht="12.9" customHeight="1" x14ac:dyDescent="0.25">
      <c r="A29" s="1969" t="s">
        <v>284</v>
      </c>
      <c r="B29" s="1970" t="s">
        <v>286</v>
      </c>
      <c r="C29" s="1971"/>
      <c r="D29" s="1971"/>
      <c r="E29" s="1971"/>
      <c r="F29" s="1971"/>
      <c r="G29" s="1972"/>
    </row>
    <row r="30" spans="1:11" ht="12.9" customHeight="1" thickBot="1" x14ac:dyDescent="0.3">
      <c r="A30" s="1973"/>
      <c r="B30" s="1930" t="s">
        <v>356</v>
      </c>
      <c r="C30" s="1974"/>
      <c r="D30" s="1974"/>
      <c r="E30" s="1974">
        <f>SUM(G23-C46-D46)</f>
        <v>198255000</v>
      </c>
      <c r="F30" s="1974"/>
      <c r="G30" s="1975">
        <f t="shared" ref="G30:G44" si="6">SUM(C30:F30)</f>
        <v>198255000</v>
      </c>
    </row>
    <row r="31" spans="1:11" ht="0.15" customHeight="1" x14ac:dyDescent="0.25">
      <c r="A31" s="1976"/>
      <c r="B31" s="1934" t="s">
        <v>357</v>
      </c>
      <c r="C31" s="1971"/>
      <c r="D31" s="1971"/>
      <c r="E31" s="1971">
        <f>SUM(G24-G35-G39-G43)-1</f>
        <v>192746174</v>
      </c>
      <c r="F31" s="1971">
        <v>1</v>
      </c>
      <c r="G31" s="1977">
        <f t="shared" si="6"/>
        <v>192746175</v>
      </c>
    </row>
    <row r="32" spans="1:11" s="1409" customFormat="1" ht="0.15" customHeight="1" thickBot="1" x14ac:dyDescent="0.3">
      <c r="A32" s="1978"/>
      <c r="B32" s="1937" t="s">
        <v>355</v>
      </c>
      <c r="C32" s="1979"/>
      <c r="D32" s="1979"/>
      <c r="E32" s="1979">
        <v>88212</v>
      </c>
      <c r="F32" s="1979"/>
      <c r="G32" s="1975">
        <f t="shared" si="6"/>
        <v>88212</v>
      </c>
    </row>
    <row r="33" spans="1:8" ht="12.9" customHeight="1" x14ac:dyDescent="0.25">
      <c r="A33" s="1550" t="s">
        <v>232</v>
      </c>
      <c r="B33" s="1927" t="s">
        <v>233</v>
      </c>
      <c r="C33" s="1928"/>
      <c r="D33" s="1928"/>
      <c r="E33" s="1928"/>
      <c r="F33" s="1928"/>
      <c r="G33" s="1980"/>
    </row>
    <row r="34" spans="1:8" ht="12.9" customHeight="1" thickBot="1" x14ac:dyDescent="0.3">
      <c r="A34" s="1553"/>
      <c r="B34" s="1930" t="s">
        <v>356</v>
      </c>
      <c r="C34" s="1931"/>
      <c r="D34" s="1931"/>
      <c r="E34" s="1931"/>
      <c r="F34" s="1931"/>
      <c r="G34" s="1981">
        <f t="shared" ref="G34:G36" si="7">SUM(C34:F34)</f>
        <v>0</v>
      </c>
    </row>
    <row r="35" spans="1:8" ht="0.15" customHeight="1" x14ac:dyDescent="0.25">
      <c r="A35" s="1933"/>
      <c r="B35" s="1934" t="s">
        <v>357</v>
      </c>
      <c r="C35" s="1928"/>
      <c r="D35" s="1928"/>
      <c r="E35" s="1928"/>
      <c r="F35" s="1928"/>
      <c r="G35" s="1980">
        <f t="shared" si="7"/>
        <v>0</v>
      </c>
    </row>
    <row r="36" spans="1:8" s="1409" customFormat="1" ht="0.15" customHeight="1" thickBot="1" x14ac:dyDescent="0.3">
      <c r="A36" s="1936"/>
      <c r="B36" s="1937" t="s">
        <v>355</v>
      </c>
      <c r="C36" s="1938"/>
      <c r="D36" s="1938">
        <v>40</v>
      </c>
      <c r="E36" s="1938"/>
      <c r="F36" s="1938"/>
      <c r="G36" s="1981">
        <f t="shared" si="7"/>
        <v>40</v>
      </c>
    </row>
    <row r="37" spans="1:8" ht="12.9" customHeight="1" x14ac:dyDescent="0.25">
      <c r="A37" s="1550" t="s">
        <v>234</v>
      </c>
      <c r="B37" s="1927" t="s">
        <v>235</v>
      </c>
      <c r="C37" s="1928"/>
      <c r="D37" s="1928"/>
      <c r="E37" s="1928"/>
      <c r="F37" s="1928"/>
      <c r="G37" s="1980"/>
    </row>
    <row r="38" spans="1:8" ht="12.9" customHeight="1" thickBot="1" x14ac:dyDescent="0.3">
      <c r="A38" s="1553"/>
      <c r="B38" s="1930" t="s">
        <v>356</v>
      </c>
      <c r="C38" s="1931"/>
      <c r="D38" s="1931"/>
      <c r="E38" s="1931"/>
      <c r="F38" s="1931"/>
      <c r="G38" s="1981">
        <f t="shared" ref="G38:G40" si="8">SUM(C38:F38)</f>
        <v>0</v>
      </c>
    </row>
    <row r="39" spans="1:8" ht="0.15" customHeight="1" x14ac:dyDescent="0.25">
      <c r="A39" s="1933"/>
      <c r="B39" s="1934" t="s">
        <v>357</v>
      </c>
      <c r="C39" s="1928"/>
      <c r="D39" s="1928"/>
      <c r="E39" s="1928"/>
      <c r="F39" s="1928"/>
      <c r="G39" s="1980">
        <f t="shared" si="8"/>
        <v>0</v>
      </c>
    </row>
    <row r="40" spans="1:8" s="1409" customFormat="1" ht="0.15" customHeight="1" thickBot="1" x14ac:dyDescent="0.3">
      <c r="A40" s="1936"/>
      <c r="B40" s="1937" t="s">
        <v>355</v>
      </c>
      <c r="C40" s="1938">
        <v>581</v>
      </c>
      <c r="D40" s="1938"/>
      <c r="E40" s="1938"/>
      <c r="F40" s="1938"/>
      <c r="G40" s="1981">
        <f t="shared" si="8"/>
        <v>581</v>
      </c>
    </row>
    <row r="41" spans="1:8" ht="12.9" customHeight="1" x14ac:dyDescent="0.25">
      <c r="A41" s="1550" t="s">
        <v>387</v>
      </c>
      <c r="B41" s="1927" t="s">
        <v>388</v>
      </c>
      <c r="C41" s="1928"/>
      <c r="D41" s="1928"/>
      <c r="E41" s="1928"/>
      <c r="F41" s="1928"/>
      <c r="G41" s="1977"/>
      <c r="H41" s="1948"/>
    </row>
    <row r="42" spans="1:8" ht="12.9" customHeight="1" thickBot="1" x14ac:dyDescent="0.3">
      <c r="A42" s="1982"/>
      <c r="B42" s="1934" t="s">
        <v>356</v>
      </c>
      <c r="C42" s="1941">
        <v>2898000</v>
      </c>
      <c r="D42" s="1941"/>
      <c r="E42" s="1941"/>
      <c r="F42" s="1941"/>
      <c r="G42" s="1977">
        <f t="shared" si="6"/>
        <v>2898000</v>
      </c>
      <c r="H42" s="1948"/>
    </row>
    <row r="43" spans="1:8" ht="0.15" customHeight="1" x14ac:dyDescent="0.25">
      <c r="A43" s="1982"/>
      <c r="B43" s="1934" t="s">
        <v>357</v>
      </c>
      <c r="C43" s="1942">
        <f>SUM(C42)</f>
        <v>2898000</v>
      </c>
      <c r="D43" s="1942"/>
      <c r="E43" s="1942"/>
      <c r="F43" s="1942"/>
      <c r="G43" s="1983">
        <f t="shared" si="6"/>
        <v>2898000</v>
      </c>
      <c r="H43" s="1948"/>
    </row>
    <row r="44" spans="1:8" s="1409" customFormat="1" ht="0.15" customHeight="1" thickBot="1" x14ac:dyDescent="0.3">
      <c r="A44" s="1561"/>
      <c r="B44" s="1943" t="s">
        <v>355</v>
      </c>
      <c r="C44" s="1944">
        <v>8662</v>
      </c>
      <c r="D44" s="1944"/>
      <c r="E44" s="1944"/>
      <c r="F44" s="1944"/>
      <c r="G44" s="1984">
        <f t="shared" si="6"/>
        <v>8662</v>
      </c>
      <c r="H44" s="1960"/>
    </row>
    <row r="45" spans="1:8" ht="12.9" customHeight="1" thickBot="1" x14ac:dyDescent="0.3">
      <c r="A45" s="2632" t="s">
        <v>96</v>
      </c>
      <c r="B45" s="2633"/>
      <c r="C45" s="1946"/>
      <c r="D45" s="1946"/>
      <c r="E45" s="1946"/>
      <c r="F45" s="1946"/>
      <c r="G45" s="1985"/>
      <c r="H45" s="1948"/>
    </row>
    <row r="46" spans="1:8" ht="12.9" customHeight="1" x14ac:dyDescent="0.25">
      <c r="A46" s="1986"/>
      <c r="B46" s="1987" t="s">
        <v>356</v>
      </c>
      <c r="C46" s="1988">
        <f t="shared" ref="C46:G47" si="9">C30+C42</f>
        <v>2898000</v>
      </c>
      <c r="D46" s="1988">
        <f t="shared" si="9"/>
        <v>0</v>
      </c>
      <c r="E46" s="1988">
        <f t="shared" si="9"/>
        <v>198255000</v>
      </c>
      <c r="F46" s="1988">
        <f t="shared" si="9"/>
        <v>0</v>
      </c>
      <c r="G46" s="1989">
        <f t="shared" si="9"/>
        <v>201153000</v>
      </c>
      <c r="H46" s="1948"/>
    </row>
    <row r="47" spans="1:8" ht="0.15" customHeight="1" x14ac:dyDescent="0.25">
      <c r="A47" s="1990"/>
      <c r="B47" s="1991" t="s">
        <v>357</v>
      </c>
      <c r="C47" s="1992">
        <f t="shared" si="9"/>
        <v>2898000</v>
      </c>
      <c r="D47" s="1992">
        <f t="shared" si="9"/>
        <v>0</v>
      </c>
      <c r="E47" s="1992">
        <f t="shared" si="9"/>
        <v>192746174</v>
      </c>
      <c r="F47" s="1992">
        <f t="shared" si="9"/>
        <v>1</v>
      </c>
      <c r="G47" s="1993">
        <f t="shared" si="9"/>
        <v>195644175</v>
      </c>
      <c r="H47" s="1948"/>
    </row>
    <row r="48" spans="1:8" s="1409" customFormat="1" ht="0.15" customHeight="1" x14ac:dyDescent="0.25">
      <c r="A48" s="1994"/>
      <c r="B48" s="1557" t="s">
        <v>355</v>
      </c>
      <c r="C48" s="1958">
        <f>C32+C44+C40</f>
        <v>9243</v>
      </c>
      <c r="D48" s="1958">
        <f>D32+D44+D36</f>
        <v>40</v>
      </c>
      <c r="E48" s="1958">
        <f>E32+E44</f>
        <v>88212</v>
      </c>
      <c r="F48" s="1958">
        <f>F32+F44</f>
        <v>0</v>
      </c>
      <c r="G48" s="1959">
        <f>G32+G44+G36+G40</f>
        <v>97495</v>
      </c>
      <c r="H48" s="1960"/>
    </row>
    <row r="49" spans="1:8" s="1409" customFormat="1" ht="0.15" customHeight="1" thickBot="1" x14ac:dyDescent="0.3">
      <c r="A49" s="1995"/>
      <c r="B49" s="1411" t="s">
        <v>429</v>
      </c>
      <c r="C49" s="1963">
        <f>SUM(C48)/C47</f>
        <v>3.1894409937888199E-3</v>
      </c>
      <c r="D49" s="1963"/>
      <c r="E49" s="1963">
        <f t="shared" ref="E49:G49" si="10">SUM(E48)/E47</f>
        <v>4.5765888976867579E-4</v>
      </c>
      <c r="F49" s="1963"/>
      <c r="G49" s="1964">
        <f t="shared" si="10"/>
        <v>4.9832815109368837E-4</v>
      </c>
      <c r="H49" s="1960"/>
    </row>
    <row r="50" spans="1:8" ht="12.6" customHeight="1" thickBot="1" x14ac:dyDescent="0.3"/>
    <row r="51" spans="1:8" ht="45" customHeight="1" thickBot="1" x14ac:dyDescent="0.4">
      <c r="A51" s="2625" t="s">
        <v>570</v>
      </c>
      <c r="B51" s="2626"/>
      <c r="C51" s="2626"/>
      <c r="D51" s="2626"/>
      <c r="E51" s="2626"/>
      <c r="F51" s="2626"/>
      <c r="G51" s="2627"/>
    </row>
    <row r="52" spans="1:8" ht="16.8" x14ac:dyDescent="0.25">
      <c r="A52" s="1923" t="s">
        <v>229</v>
      </c>
      <c r="B52" s="1924" t="s">
        <v>238</v>
      </c>
      <c r="C52" s="1925" t="s">
        <v>57</v>
      </c>
      <c r="D52" s="1925" t="s">
        <v>90</v>
      </c>
      <c r="E52" s="1925" t="s">
        <v>91</v>
      </c>
      <c r="F52" s="1925" t="s">
        <v>315</v>
      </c>
      <c r="G52" s="1926" t="s">
        <v>53</v>
      </c>
    </row>
    <row r="53" spans="1:8" x14ac:dyDescent="0.25">
      <c r="A53" s="2628" t="s">
        <v>177</v>
      </c>
      <c r="B53" s="2629"/>
      <c r="C53" s="1996"/>
      <c r="D53" s="1996"/>
      <c r="E53" s="1996"/>
      <c r="F53" s="1996"/>
      <c r="G53" s="1997"/>
    </row>
    <row r="54" spans="1:8" ht="12.6" customHeight="1" x14ac:dyDescent="0.25">
      <c r="A54" s="1550" t="s">
        <v>232</v>
      </c>
      <c r="B54" s="1927" t="s">
        <v>233</v>
      </c>
      <c r="C54" s="1928"/>
      <c r="D54" s="1928"/>
      <c r="E54" s="1928"/>
      <c r="F54" s="1928"/>
      <c r="G54" s="1980"/>
    </row>
    <row r="55" spans="1:8" ht="12.6" customHeight="1" thickBot="1" x14ac:dyDescent="0.3">
      <c r="A55" s="1553"/>
      <c r="B55" s="1930" t="s">
        <v>356</v>
      </c>
      <c r="C55" s="1931">
        <f>C7</f>
        <v>114964000</v>
      </c>
      <c r="D55" s="1931">
        <f>D7</f>
        <v>23919000</v>
      </c>
      <c r="E55" s="1931">
        <f>SUM(E7)</f>
        <v>2425000</v>
      </c>
      <c r="F55" s="1931">
        <f>SUM(F7)</f>
        <v>2090000</v>
      </c>
      <c r="G55" s="1981">
        <f t="shared" ref="G55:G69" si="11">SUM(C55:F55)</f>
        <v>143398000</v>
      </c>
    </row>
    <row r="56" spans="1:8" ht="0.15" customHeight="1" x14ac:dyDescent="0.25">
      <c r="A56" s="1933"/>
      <c r="B56" s="1934" t="s">
        <v>357</v>
      </c>
      <c r="C56" s="1928">
        <f>SUM(C8)</f>
        <v>114964138</v>
      </c>
      <c r="D56" s="1928">
        <f t="shared" ref="D56:F56" si="12">SUM(D8)</f>
        <v>23919037</v>
      </c>
      <c r="E56" s="1928">
        <f t="shared" si="12"/>
        <v>2425000</v>
      </c>
      <c r="F56" s="1928">
        <f t="shared" si="12"/>
        <v>2090000</v>
      </c>
      <c r="G56" s="1980">
        <f t="shared" si="11"/>
        <v>143398175</v>
      </c>
    </row>
    <row r="57" spans="1:8" s="1409" customFormat="1" ht="0.15" customHeight="1" thickBot="1" x14ac:dyDescent="0.3">
      <c r="A57" s="1936"/>
      <c r="B57" s="1937" t="s">
        <v>355</v>
      </c>
      <c r="C57" s="1938">
        <f>SUM(C9)</f>
        <v>57171</v>
      </c>
      <c r="D57" s="1938">
        <f>SUM(D9)</f>
        <v>16061</v>
      </c>
      <c r="E57" s="1938">
        <f>SUM(E9)</f>
        <v>1910</v>
      </c>
      <c r="F57" s="1938"/>
      <c r="G57" s="1981">
        <f t="shared" si="11"/>
        <v>75142</v>
      </c>
    </row>
    <row r="58" spans="1:8" ht="12.6" customHeight="1" x14ac:dyDescent="0.25">
      <c r="A58" s="1550" t="s">
        <v>236</v>
      </c>
      <c r="B58" s="1927" t="s">
        <v>376</v>
      </c>
      <c r="C58" s="1928"/>
      <c r="D58" s="1928"/>
      <c r="E58" s="1928"/>
      <c r="F58" s="1928"/>
      <c r="G58" s="1980"/>
    </row>
    <row r="59" spans="1:8" ht="12.6" customHeight="1" thickBot="1" x14ac:dyDescent="0.3">
      <c r="A59" s="1553"/>
      <c r="B59" s="1930" t="s">
        <v>356</v>
      </c>
      <c r="C59" s="1931"/>
      <c r="D59" s="1931">
        <f>D11</f>
        <v>197000</v>
      </c>
      <c r="E59" s="1931">
        <f>E11</f>
        <v>1008000</v>
      </c>
      <c r="F59" s="1931"/>
      <c r="G59" s="1981">
        <f t="shared" si="11"/>
        <v>1205000</v>
      </c>
    </row>
    <row r="60" spans="1:8" ht="0.15" customHeight="1" x14ac:dyDescent="0.25">
      <c r="A60" s="1933"/>
      <c r="B60" s="1934" t="s">
        <v>357</v>
      </c>
      <c r="C60" s="1928"/>
      <c r="D60" s="1928">
        <f>D12</f>
        <v>197000</v>
      </c>
      <c r="E60" s="1928">
        <f>E12</f>
        <v>1008000</v>
      </c>
      <c r="F60" s="1928"/>
      <c r="G60" s="1980">
        <f t="shared" si="11"/>
        <v>1205000</v>
      </c>
    </row>
    <row r="61" spans="1:8" s="1409" customFormat="1" ht="0.15" customHeight="1" thickBot="1" x14ac:dyDescent="0.3">
      <c r="A61" s="1998"/>
      <c r="B61" s="1962" t="s">
        <v>355</v>
      </c>
      <c r="C61" s="1999"/>
      <c r="D61" s="1999"/>
      <c r="E61" s="1999"/>
      <c r="F61" s="1999"/>
      <c r="G61" s="1981">
        <f t="shared" si="11"/>
        <v>0</v>
      </c>
    </row>
    <row r="62" spans="1:8" ht="12.6" customHeight="1" x14ac:dyDescent="0.25">
      <c r="A62" s="1550" t="s">
        <v>234</v>
      </c>
      <c r="B62" s="1927" t="s">
        <v>235</v>
      </c>
      <c r="C62" s="1928"/>
      <c r="D62" s="1928"/>
      <c r="E62" s="1928"/>
      <c r="F62" s="1928"/>
      <c r="G62" s="1980"/>
    </row>
    <row r="63" spans="1:8" ht="12.6" customHeight="1" thickBot="1" x14ac:dyDescent="0.3">
      <c r="A63" s="1940"/>
      <c r="B63" s="2000" t="s">
        <v>356</v>
      </c>
      <c r="C63" s="1942">
        <f t="shared" ref="C63:F63" si="13">C15</f>
        <v>2438000</v>
      </c>
      <c r="D63" s="1942">
        <f t="shared" si="13"/>
        <v>591000</v>
      </c>
      <c r="E63" s="1942">
        <f t="shared" si="13"/>
        <v>18387000</v>
      </c>
      <c r="F63" s="1942">
        <f t="shared" si="13"/>
        <v>3886000</v>
      </c>
      <c r="G63" s="2001">
        <f t="shared" si="11"/>
        <v>25302000</v>
      </c>
    </row>
    <row r="64" spans="1:8" ht="0.15" customHeight="1" x14ac:dyDescent="0.25">
      <c r="A64" s="1940"/>
      <c r="B64" s="2000" t="s">
        <v>357</v>
      </c>
      <c r="C64" s="1942">
        <f>SUM(C16)</f>
        <v>2438000</v>
      </c>
      <c r="D64" s="1942">
        <f t="shared" ref="D64:F64" si="14">SUM(D16)</f>
        <v>591000</v>
      </c>
      <c r="E64" s="1942">
        <f t="shared" si="14"/>
        <v>18387000</v>
      </c>
      <c r="F64" s="1942">
        <f t="shared" si="14"/>
        <v>3886000</v>
      </c>
      <c r="G64" s="2001">
        <f t="shared" si="11"/>
        <v>25302000</v>
      </c>
    </row>
    <row r="65" spans="1:7" s="1409" customFormat="1" ht="0.15" customHeight="1" thickBot="1" x14ac:dyDescent="0.3">
      <c r="A65" s="1936"/>
      <c r="B65" s="1937" t="s">
        <v>355</v>
      </c>
      <c r="C65" s="1938">
        <f>SUM(C17)</f>
        <v>1292</v>
      </c>
      <c r="D65" s="1938">
        <f>SUM(D17)</f>
        <v>509</v>
      </c>
      <c r="E65" s="1938">
        <f>SUM(E17)</f>
        <v>5124</v>
      </c>
      <c r="F65" s="1938">
        <f>SUM(F17)</f>
        <v>1521</v>
      </c>
      <c r="G65" s="1981">
        <f>SUM(C65:F65)</f>
        <v>8446</v>
      </c>
    </row>
    <row r="66" spans="1:7" ht="12.6" customHeight="1" x14ac:dyDescent="0.25">
      <c r="A66" s="2002" t="s">
        <v>387</v>
      </c>
      <c r="B66" s="2003" t="s">
        <v>388</v>
      </c>
      <c r="C66" s="2004"/>
      <c r="D66" s="2004"/>
      <c r="E66" s="2004"/>
      <c r="F66" s="2004"/>
      <c r="G66" s="2005">
        <f t="shared" si="11"/>
        <v>0</v>
      </c>
    </row>
    <row r="67" spans="1:7" ht="12.6" customHeight="1" thickBot="1" x14ac:dyDescent="0.3">
      <c r="A67" s="1982"/>
      <c r="B67" s="2006" t="s">
        <v>356</v>
      </c>
      <c r="C67" s="1941">
        <f>SUM(C19)</f>
        <v>4514000</v>
      </c>
      <c r="D67" s="1941"/>
      <c r="E67" s="1941">
        <f>E19</f>
        <v>25739000</v>
      </c>
      <c r="F67" s="1941">
        <f>SUM(F19)</f>
        <v>80000</v>
      </c>
      <c r="G67" s="2007">
        <f t="shared" si="11"/>
        <v>30333000</v>
      </c>
    </row>
    <row r="68" spans="1:7" ht="0.15" customHeight="1" x14ac:dyDescent="0.25">
      <c r="A68" s="1551"/>
      <c r="B68" s="2000" t="s">
        <v>357</v>
      </c>
      <c r="C68" s="1942"/>
      <c r="D68" s="1942"/>
      <c r="E68" s="1942">
        <f>SUM(E20)</f>
        <v>25739000</v>
      </c>
      <c r="F68" s="1942"/>
      <c r="G68" s="1929">
        <f t="shared" si="11"/>
        <v>25739000</v>
      </c>
    </row>
    <row r="69" spans="1:7" s="1409" customFormat="1" ht="0.15" customHeight="1" thickBot="1" x14ac:dyDescent="0.3">
      <c r="A69" s="1561"/>
      <c r="B69" s="1943" t="s">
        <v>355</v>
      </c>
      <c r="C69" s="1944"/>
      <c r="D69" s="1944"/>
      <c r="E69" s="1944">
        <f>SUM(E21)</f>
        <v>13844</v>
      </c>
      <c r="F69" s="1944"/>
      <c r="G69" s="1939">
        <f t="shared" si="11"/>
        <v>13844</v>
      </c>
    </row>
    <row r="70" spans="1:7" ht="12.6" customHeight="1" x14ac:dyDescent="0.25">
      <c r="A70" s="2623" t="s">
        <v>94</v>
      </c>
      <c r="B70" s="2624"/>
      <c r="C70" s="2008"/>
      <c r="D70" s="2008"/>
      <c r="E70" s="2008"/>
      <c r="F70" s="2008"/>
      <c r="G70" s="2009"/>
    </row>
    <row r="71" spans="1:7" ht="12.6" customHeight="1" x14ac:dyDescent="0.25">
      <c r="A71" s="2010"/>
      <c r="B71" s="2011" t="s">
        <v>356</v>
      </c>
      <c r="C71" s="2012">
        <f t="shared" ref="C71:G73" si="15">C55+C59+C63+C67</f>
        <v>121916000</v>
      </c>
      <c r="D71" s="2012">
        <f t="shared" si="15"/>
        <v>24707000</v>
      </c>
      <c r="E71" s="2012">
        <f t="shared" si="15"/>
        <v>47559000</v>
      </c>
      <c r="F71" s="2012">
        <f t="shared" si="15"/>
        <v>6056000</v>
      </c>
      <c r="G71" s="2013">
        <f t="shared" si="15"/>
        <v>200238000</v>
      </c>
    </row>
    <row r="72" spans="1:7" ht="0.15" customHeight="1" x14ac:dyDescent="0.25">
      <c r="A72" s="2014"/>
      <c r="B72" s="1991" t="s">
        <v>357</v>
      </c>
      <c r="C72" s="1992">
        <f t="shared" si="15"/>
        <v>117402138</v>
      </c>
      <c r="D72" s="1992">
        <f t="shared" si="15"/>
        <v>24707037</v>
      </c>
      <c r="E72" s="1992">
        <f t="shared" si="15"/>
        <v>47559000</v>
      </c>
      <c r="F72" s="1992">
        <f t="shared" si="15"/>
        <v>5976000</v>
      </c>
      <c r="G72" s="1993">
        <f t="shared" si="15"/>
        <v>195644175</v>
      </c>
    </row>
    <row r="73" spans="1:7" s="1409" customFormat="1" ht="0.15" customHeight="1" x14ac:dyDescent="0.25">
      <c r="A73" s="2015"/>
      <c r="B73" s="1562" t="s">
        <v>355</v>
      </c>
      <c r="C73" s="1958">
        <f t="shared" si="15"/>
        <v>58463</v>
      </c>
      <c r="D73" s="1958">
        <f t="shared" si="15"/>
        <v>16570</v>
      </c>
      <c r="E73" s="1958">
        <f t="shared" si="15"/>
        <v>20878</v>
      </c>
      <c r="F73" s="1958">
        <f t="shared" si="15"/>
        <v>1521</v>
      </c>
      <c r="G73" s="1959">
        <f>G57+G61+G65+G69</f>
        <v>97432</v>
      </c>
    </row>
    <row r="74" spans="1:7" s="1409" customFormat="1" ht="0.15" customHeight="1" thickBot="1" x14ac:dyDescent="0.3">
      <c r="A74" s="2016"/>
      <c r="B74" s="1411"/>
      <c r="C74" s="1963">
        <f>SUM(C73)/C72</f>
        <v>4.9797219195445999E-4</v>
      </c>
      <c r="D74" s="1963">
        <f t="shared" ref="D74:G74" si="16">SUM(D73)/D72</f>
        <v>6.7065913245687857E-4</v>
      </c>
      <c r="E74" s="1963">
        <f t="shared" si="16"/>
        <v>4.3899156836771169E-4</v>
      </c>
      <c r="F74" s="1963">
        <f t="shared" si="16"/>
        <v>2.5451807228915661E-4</v>
      </c>
      <c r="G74" s="1964">
        <f t="shared" si="16"/>
        <v>4.9800613792871679E-4</v>
      </c>
    </row>
    <row r="75" spans="1:7" ht="12.6" customHeight="1" x14ac:dyDescent="0.25">
      <c r="A75" s="1491"/>
      <c r="B75" s="1492"/>
      <c r="C75" s="1948"/>
      <c r="D75" s="1948"/>
      <c r="E75" s="1948"/>
      <c r="F75" s="1948"/>
      <c r="G75" s="1966"/>
    </row>
    <row r="76" spans="1:7" ht="25.2" x14ac:dyDescent="0.25">
      <c r="A76" s="1923" t="s">
        <v>229</v>
      </c>
      <c r="B76" s="1924" t="s">
        <v>238</v>
      </c>
      <c r="C76" s="1967" t="s">
        <v>95</v>
      </c>
      <c r="D76" s="1967" t="s">
        <v>289</v>
      </c>
      <c r="E76" s="1967" t="s">
        <v>386</v>
      </c>
      <c r="F76" s="1967" t="s">
        <v>389</v>
      </c>
      <c r="G76" s="1968"/>
    </row>
    <row r="77" spans="1:7" ht="12" customHeight="1" x14ac:dyDescent="0.25">
      <c r="A77" s="2630" t="s">
        <v>177</v>
      </c>
      <c r="B77" s="2631"/>
      <c r="C77" s="2017"/>
      <c r="D77" s="2017"/>
      <c r="E77" s="2017"/>
      <c r="F77" s="2017"/>
      <c r="G77" s="2018"/>
    </row>
    <row r="78" spans="1:7" ht="12.6" customHeight="1" x14ac:dyDescent="0.25">
      <c r="A78" s="2019" t="s">
        <v>284</v>
      </c>
      <c r="B78" s="2020" t="s">
        <v>286</v>
      </c>
      <c r="C78" s="2021"/>
      <c r="D78" s="1971"/>
      <c r="E78" s="1971"/>
      <c r="F78" s="1971"/>
      <c r="G78" s="1977"/>
    </row>
    <row r="79" spans="1:7" ht="12.6" customHeight="1" thickBot="1" x14ac:dyDescent="0.3">
      <c r="A79" s="1520"/>
      <c r="B79" s="1521" t="s">
        <v>356</v>
      </c>
      <c r="C79" s="2022"/>
      <c r="D79" s="1974">
        <f>E30</f>
        <v>198255000</v>
      </c>
      <c r="E79" s="1974"/>
      <c r="F79" s="1974"/>
      <c r="G79" s="1975">
        <f>SUM(D79:F79)</f>
        <v>198255000</v>
      </c>
    </row>
    <row r="80" spans="1:7" ht="0.15" customHeight="1" x14ac:dyDescent="0.25">
      <c r="A80" s="2023"/>
      <c r="B80" s="2024" t="s">
        <v>357</v>
      </c>
      <c r="C80" s="2021"/>
      <c r="D80" s="1971">
        <f>SUM(E31)</f>
        <v>192746174</v>
      </c>
      <c r="E80" s="1971"/>
      <c r="F80" s="1971">
        <f>SUM(F31)</f>
        <v>1</v>
      </c>
      <c r="G80" s="1977">
        <f>SUM(D80:F80)</f>
        <v>192746175</v>
      </c>
    </row>
    <row r="81" spans="1:7" s="1409" customFormat="1" ht="0.15" customHeight="1" x14ac:dyDescent="0.25">
      <c r="A81" s="2025"/>
      <c r="B81" s="1557" t="s">
        <v>355</v>
      </c>
      <c r="C81" s="2026"/>
      <c r="D81" s="2027">
        <f>SUM(E32)</f>
        <v>88212</v>
      </c>
      <c r="E81" s="2027"/>
      <c r="F81" s="2027"/>
      <c r="G81" s="2028">
        <f>SUM(D81:F81)</f>
        <v>88212</v>
      </c>
    </row>
    <row r="82" spans="1:7" ht="12.6" customHeight="1" x14ac:dyDescent="0.25">
      <c r="A82" s="2029" t="s">
        <v>232</v>
      </c>
      <c r="B82" s="2030" t="s">
        <v>233</v>
      </c>
      <c r="C82" s="1942"/>
      <c r="D82" s="1942"/>
      <c r="E82" s="1942"/>
      <c r="F82" s="1942"/>
      <c r="G82" s="2001"/>
    </row>
    <row r="83" spans="1:7" ht="12.6" customHeight="1" thickBot="1" x14ac:dyDescent="0.3">
      <c r="A83" s="1553"/>
      <c r="B83" s="1521" t="s">
        <v>356</v>
      </c>
      <c r="C83" s="1931"/>
      <c r="D83" s="1931"/>
      <c r="E83" s="1931"/>
      <c r="F83" s="1931"/>
      <c r="G83" s="1981">
        <f t="shared" ref="G83:G85" si="17">SUM(C83:F83)</f>
        <v>0</v>
      </c>
    </row>
    <row r="84" spans="1:7" ht="0.15" customHeight="1" x14ac:dyDescent="0.25">
      <c r="A84" s="1933"/>
      <c r="B84" s="2024" t="s">
        <v>357</v>
      </c>
      <c r="C84" s="1928"/>
      <c r="D84" s="1928"/>
      <c r="E84" s="1928"/>
      <c r="F84" s="1928"/>
      <c r="G84" s="1980">
        <f t="shared" si="17"/>
        <v>0</v>
      </c>
    </row>
    <row r="85" spans="1:7" s="1409" customFormat="1" ht="0.15" customHeight="1" x14ac:dyDescent="0.25">
      <c r="A85" s="1556"/>
      <c r="B85" s="1557" t="s">
        <v>355</v>
      </c>
      <c r="C85" s="2031"/>
      <c r="D85" s="2031"/>
      <c r="E85" s="2031">
        <v>40</v>
      </c>
      <c r="F85" s="2031"/>
      <c r="G85" s="2001">
        <f t="shared" si="17"/>
        <v>40</v>
      </c>
    </row>
    <row r="86" spans="1:7" ht="12.6" customHeight="1" x14ac:dyDescent="0.25">
      <c r="A86" s="2029" t="s">
        <v>234</v>
      </c>
      <c r="B86" s="2030" t="s">
        <v>235</v>
      </c>
      <c r="C86" s="1942"/>
      <c r="D86" s="1942"/>
      <c r="E86" s="1942"/>
      <c r="F86" s="1942"/>
      <c r="G86" s="2001"/>
    </row>
    <row r="87" spans="1:7" ht="12.6" customHeight="1" thickBot="1" x14ac:dyDescent="0.3">
      <c r="A87" s="1553"/>
      <c r="B87" s="1521" t="s">
        <v>356</v>
      </c>
      <c r="C87" s="1931"/>
      <c r="D87" s="1931"/>
      <c r="E87" s="1931"/>
      <c r="F87" s="1931"/>
      <c r="G87" s="1981">
        <f t="shared" ref="G87:G89" si="18">SUM(C87:F87)</f>
        <v>0</v>
      </c>
    </row>
    <row r="88" spans="1:7" ht="0.15" customHeight="1" x14ac:dyDescent="0.25">
      <c r="A88" s="1933"/>
      <c r="B88" s="2024" t="s">
        <v>357</v>
      </c>
      <c r="C88" s="1928"/>
      <c r="D88" s="1928"/>
      <c r="E88" s="1928"/>
      <c r="F88" s="1928"/>
      <c r="G88" s="1980">
        <f t="shared" si="18"/>
        <v>0</v>
      </c>
    </row>
    <row r="89" spans="1:7" s="1409" customFormat="1" ht="0.15" customHeight="1" x14ac:dyDescent="0.25">
      <c r="A89" s="1556"/>
      <c r="B89" s="1557" t="s">
        <v>355</v>
      </c>
      <c r="C89" s="2031">
        <v>581</v>
      </c>
      <c r="D89" s="2031"/>
      <c r="E89" s="2031"/>
      <c r="F89" s="2031"/>
      <c r="G89" s="2001">
        <f t="shared" si="18"/>
        <v>581</v>
      </c>
    </row>
    <row r="90" spans="1:7" ht="12.6" customHeight="1" x14ac:dyDescent="0.25">
      <c r="A90" s="2029" t="s">
        <v>387</v>
      </c>
      <c r="B90" s="2030" t="s">
        <v>388</v>
      </c>
      <c r="C90" s="1942"/>
      <c r="D90" s="1942"/>
      <c r="E90" s="1942"/>
      <c r="F90" s="1942"/>
      <c r="G90" s="2028"/>
    </row>
    <row r="91" spans="1:7" ht="12.6" customHeight="1" thickBot="1" x14ac:dyDescent="0.3">
      <c r="A91" s="1551"/>
      <c r="B91" s="1552" t="s">
        <v>356</v>
      </c>
      <c r="C91" s="2032">
        <f>C42</f>
        <v>2898000</v>
      </c>
      <c r="D91" s="2032"/>
      <c r="E91" s="2032"/>
      <c r="F91" s="2032"/>
      <c r="G91" s="1975">
        <f>SUM(C91:F91)</f>
        <v>2898000</v>
      </c>
    </row>
    <row r="92" spans="1:7" ht="0.15" customHeight="1" x14ac:dyDescent="0.25">
      <c r="A92" s="1551"/>
      <c r="B92" s="2000" t="s">
        <v>357</v>
      </c>
      <c r="C92" s="1942">
        <f>SUM(C43)</f>
        <v>2898000</v>
      </c>
      <c r="D92" s="1942"/>
      <c r="E92" s="1942"/>
      <c r="F92" s="1942"/>
      <c r="G92" s="1983">
        <f>SUM(C92:F92)</f>
        <v>2898000</v>
      </c>
    </row>
    <row r="93" spans="1:7" s="1409" customFormat="1" ht="0.15" customHeight="1" thickBot="1" x14ac:dyDescent="0.3">
      <c r="A93" s="1561"/>
      <c r="B93" s="1943" t="s">
        <v>355</v>
      </c>
      <c r="C93" s="1944">
        <f>SUM(C44)</f>
        <v>8662</v>
      </c>
      <c r="D93" s="1944"/>
      <c r="E93" s="1944"/>
      <c r="F93" s="1944"/>
      <c r="G93" s="2033">
        <f>SUM(C93:F93)</f>
        <v>8662</v>
      </c>
    </row>
    <row r="94" spans="1:7" ht="12.6" customHeight="1" x14ac:dyDescent="0.25">
      <c r="A94" s="2623" t="s">
        <v>96</v>
      </c>
      <c r="B94" s="2624"/>
      <c r="C94" s="2008"/>
      <c r="D94" s="2008"/>
      <c r="E94" s="2008"/>
      <c r="F94" s="2008"/>
      <c r="G94" s="2034"/>
    </row>
    <row r="95" spans="1:7" ht="12.6" customHeight="1" x14ac:dyDescent="0.25">
      <c r="A95" s="2035"/>
      <c r="B95" s="1991" t="s">
        <v>356</v>
      </c>
      <c r="C95" s="2036">
        <f t="shared" ref="C95:G96" si="19">C79+C91</f>
        <v>2898000</v>
      </c>
      <c r="D95" s="2036">
        <f t="shared" si="19"/>
        <v>198255000</v>
      </c>
      <c r="E95" s="2036">
        <f t="shared" si="19"/>
        <v>0</v>
      </c>
      <c r="F95" s="2036">
        <f t="shared" si="19"/>
        <v>0</v>
      </c>
      <c r="G95" s="2037">
        <f t="shared" si="19"/>
        <v>201153000</v>
      </c>
    </row>
    <row r="96" spans="1:7" ht="0.15" customHeight="1" x14ac:dyDescent="0.25">
      <c r="A96" s="2038"/>
      <c r="B96" s="1991" t="s">
        <v>357</v>
      </c>
      <c r="C96" s="2039">
        <f t="shared" si="19"/>
        <v>2898000</v>
      </c>
      <c r="D96" s="2039">
        <f t="shared" si="19"/>
        <v>192746174</v>
      </c>
      <c r="E96" s="2039">
        <f t="shared" si="19"/>
        <v>0</v>
      </c>
      <c r="F96" s="2039">
        <f t="shared" si="19"/>
        <v>1</v>
      </c>
      <c r="G96" s="2040">
        <f t="shared" si="19"/>
        <v>195644175</v>
      </c>
    </row>
    <row r="97" spans="1:7" s="1409" customFormat="1" ht="0.15" customHeight="1" x14ac:dyDescent="0.25">
      <c r="A97" s="2041"/>
      <c r="B97" s="1557" t="s">
        <v>355</v>
      </c>
      <c r="C97" s="2042">
        <f>C81+C93+C89</f>
        <v>9243</v>
      </c>
      <c r="D97" s="2042">
        <f>D81+D93</f>
        <v>88212</v>
      </c>
      <c r="E97" s="2042">
        <f>E81+E93+E85</f>
        <v>40</v>
      </c>
      <c r="F97" s="2042">
        <f>F81+F93</f>
        <v>0</v>
      </c>
      <c r="G97" s="2043">
        <f>G81+G93+G85+G89</f>
        <v>97495</v>
      </c>
    </row>
    <row r="98" spans="1:7" s="1409" customFormat="1" ht="0.15" customHeight="1" thickBot="1" x14ac:dyDescent="0.3">
      <c r="A98" s="2044"/>
      <c r="B98" s="1562" t="s">
        <v>427</v>
      </c>
      <c r="C98" s="2045">
        <f>SUM(C97)/C96</f>
        <v>3.1894409937888199E-3</v>
      </c>
      <c r="D98" s="2045">
        <f t="shared" ref="D98:G98" si="20">SUM(D97)/D96</f>
        <v>4.5765888976867579E-4</v>
      </c>
      <c r="E98" s="2045"/>
      <c r="F98" s="2045"/>
      <c r="G98" s="2046">
        <f t="shared" si="20"/>
        <v>4.9832815109368837E-4</v>
      </c>
    </row>
    <row r="99" spans="1:7" ht="12.6" customHeight="1" thickBot="1" x14ac:dyDescent="0.3">
      <c r="A99" s="2047"/>
      <c r="B99" s="2048"/>
      <c r="C99" s="2049"/>
      <c r="D99" s="2049"/>
      <c r="E99" s="2049"/>
      <c r="F99" s="2049"/>
      <c r="G99" s="2050"/>
    </row>
    <row r="100" spans="1:7" ht="12.6" customHeight="1" x14ac:dyDescent="0.25">
      <c r="A100" s="1613"/>
      <c r="B100" s="1610"/>
      <c r="C100" s="1610"/>
      <c r="D100" s="1610"/>
      <c r="E100" s="1610"/>
      <c r="F100" s="1610"/>
    </row>
    <row r="101" spans="1:7" x14ac:dyDescent="0.25">
      <c r="B101" s="1608"/>
      <c r="C101" s="1608"/>
      <c r="D101" s="1608"/>
      <c r="E101" s="1608"/>
      <c r="F101" s="1608"/>
    </row>
    <row r="102" spans="1:7" x14ac:dyDescent="0.25">
      <c r="B102" s="1608"/>
      <c r="C102" s="1608"/>
      <c r="D102" s="1608"/>
      <c r="E102" s="1608"/>
      <c r="F102" s="1608"/>
    </row>
    <row r="103" spans="1:7" x14ac:dyDescent="0.25">
      <c r="A103" s="1613"/>
      <c r="B103" s="1611"/>
      <c r="C103" s="1611"/>
      <c r="D103" s="1611"/>
      <c r="E103" s="1611"/>
      <c r="F103" s="1611"/>
    </row>
  </sheetData>
  <mergeCells count="8">
    <mergeCell ref="A94:B94"/>
    <mergeCell ref="A1:G1"/>
    <mergeCell ref="A51:G51"/>
    <mergeCell ref="A53:B53"/>
    <mergeCell ref="A77:B77"/>
    <mergeCell ref="A22:B22"/>
    <mergeCell ref="A45:B45"/>
    <mergeCell ref="A70:B70"/>
  </mergeCells>
  <phoneticPr fontId="3" type="noConversion"/>
  <pageMargins left="0.7" right="0.7" top="0.75" bottom="0.75" header="0.3" footer="0.3"/>
  <pageSetup paperSize="9" scale="60" orientation="landscape" r:id="rId1"/>
  <headerFooter alignWithMargins="0">
    <oddHeader>&amp;A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9"/>
  <sheetViews>
    <sheetView topLeftCell="B1" workbookViewId="0">
      <selection activeCell="C1" sqref="C1:K19"/>
    </sheetView>
  </sheetViews>
  <sheetFormatPr defaultColWidth="9.109375" defaultRowHeight="12.6" x14ac:dyDescent="0.25"/>
  <cols>
    <col min="1" max="1" width="0.88671875" style="3" hidden="1" customWidth="1"/>
    <col min="2" max="2" width="0.88671875" style="4" customWidth="1"/>
    <col min="3" max="3" width="13.88671875" style="4" customWidth="1"/>
    <col min="4" max="4" width="24.5546875" customWidth="1"/>
    <col min="5" max="5" width="0.33203125" customWidth="1"/>
    <col min="6" max="6" width="0.109375" customWidth="1"/>
    <col min="7" max="7" width="38.33203125" style="1" hidden="1" customWidth="1"/>
    <col min="8" max="8" width="52.44140625" style="1" customWidth="1"/>
    <col min="9" max="9" width="21.33203125" customWidth="1"/>
    <col min="10" max="11" width="0.109375" customWidth="1"/>
    <col min="12" max="12" width="0.109375" style="1" customWidth="1"/>
  </cols>
  <sheetData>
    <row r="1" spans="1:12" ht="18.600000000000001" thickBot="1" x14ac:dyDescent="0.4">
      <c r="A1" s="27" t="s">
        <v>22</v>
      </c>
      <c r="B1" s="27"/>
      <c r="C1" s="2550" t="s">
        <v>571</v>
      </c>
      <c r="D1" s="2551"/>
      <c r="E1" s="2551"/>
      <c r="F1" s="2551"/>
      <c r="G1" s="2551"/>
      <c r="H1" s="2551"/>
      <c r="I1" s="2551"/>
      <c r="J1" s="2551"/>
      <c r="K1" s="2552"/>
      <c r="L1" s="91"/>
    </row>
    <row r="2" spans="1:12" ht="18.600000000000001" thickBot="1" x14ac:dyDescent="0.4">
      <c r="A2" s="27"/>
      <c r="B2" s="27"/>
      <c r="C2" s="166"/>
      <c r="D2" s="96"/>
      <c r="E2" s="96"/>
      <c r="F2" s="97"/>
      <c r="G2" s="96"/>
      <c r="H2" s="109"/>
      <c r="I2" s="98"/>
      <c r="J2" s="98"/>
      <c r="K2" s="167"/>
      <c r="L2" s="91"/>
    </row>
    <row r="3" spans="1:12" ht="16.2" thickBot="1" x14ac:dyDescent="0.35">
      <c r="A3" s="4"/>
      <c r="C3" s="99"/>
      <c r="D3" s="490" t="s">
        <v>5</v>
      </c>
      <c r="E3" s="490"/>
      <c r="F3" s="100"/>
      <c r="G3" s="93"/>
      <c r="H3" s="93"/>
      <c r="I3" s="490" t="s">
        <v>108</v>
      </c>
      <c r="J3" s="490"/>
      <c r="K3" s="100"/>
      <c r="L3" s="91"/>
    </row>
    <row r="4" spans="1:12" ht="3" customHeight="1" thickBot="1" x14ac:dyDescent="0.35">
      <c r="A4" s="4"/>
      <c r="C4" s="103"/>
      <c r="D4" s="104"/>
      <c r="E4" s="104"/>
      <c r="F4" s="105"/>
      <c r="G4" s="106"/>
      <c r="H4" s="108"/>
      <c r="I4" s="104"/>
      <c r="J4" s="395"/>
      <c r="K4" s="2453"/>
      <c r="L4" s="91"/>
    </row>
    <row r="5" spans="1:12" ht="15" customHeight="1" x14ac:dyDescent="0.3">
      <c r="A5" s="4"/>
      <c r="C5" s="103"/>
      <c r="D5" s="544" t="s">
        <v>367</v>
      </c>
      <c r="E5" s="544"/>
      <c r="F5" s="545"/>
      <c r="G5" s="217"/>
      <c r="H5" s="546"/>
      <c r="I5" s="544" t="s">
        <v>367</v>
      </c>
      <c r="J5" s="544"/>
      <c r="K5" s="609"/>
      <c r="L5" s="91"/>
    </row>
    <row r="6" spans="1:12" ht="15" customHeight="1" x14ac:dyDescent="0.3">
      <c r="A6" s="4"/>
      <c r="C6" s="165"/>
      <c r="D6" s="224"/>
      <c r="E6" s="224"/>
      <c r="F6" s="392"/>
      <c r="G6" s="217"/>
      <c r="H6" s="165" t="s">
        <v>586</v>
      </c>
      <c r="I6" s="1397">
        <v>250000</v>
      </c>
      <c r="J6" s="601">
        <f>SUM(I6)</f>
        <v>250000</v>
      </c>
      <c r="K6" s="218">
        <v>55</v>
      </c>
      <c r="L6" s="91"/>
    </row>
    <row r="7" spans="1:12" ht="15" customHeight="1" x14ac:dyDescent="0.3">
      <c r="A7" s="4"/>
      <c r="C7" s="165"/>
      <c r="D7" s="224"/>
      <c r="E7" s="224"/>
      <c r="F7" s="392"/>
      <c r="G7" s="217"/>
      <c r="H7" s="165" t="s">
        <v>587</v>
      </c>
      <c r="I7" s="1397">
        <f>2800000*1.27</f>
        <v>3556000</v>
      </c>
      <c r="J7" s="601">
        <f t="shared" ref="J7:J17" si="0">SUM(I7)</f>
        <v>3556000</v>
      </c>
      <c r="K7" s="218">
        <v>90</v>
      </c>
      <c r="L7" s="91"/>
    </row>
    <row r="8" spans="1:12" ht="15" customHeight="1" x14ac:dyDescent="0.3">
      <c r="A8" s="4"/>
      <c r="C8" s="165"/>
      <c r="D8" s="224"/>
      <c r="E8" s="224"/>
      <c r="F8" s="392"/>
      <c r="G8" s="217"/>
      <c r="H8" s="165" t="s">
        <v>588</v>
      </c>
      <c r="I8" s="1397">
        <v>650000</v>
      </c>
      <c r="J8" s="601"/>
      <c r="K8" s="218"/>
      <c r="L8" s="91"/>
    </row>
    <row r="9" spans="1:12" ht="15" customHeight="1" x14ac:dyDescent="0.3">
      <c r="A9" s="4"/>
      <c r="C9" s="165"/>
      <c r="D9" s="224"/>
      <c r="E9" s="224"/>
      <c r="F9" s="392"/>
      <c r="G9" s="217"/>
      <c r="H9" s="165" t="s">
        <v>589</v>
      </c>
      <c r="I9" s="1397">
        <v>250000</v>
      </c>
      <c r="J9" s="601"/>
      <c r="K9" s="218"/>
      <c r="L9" s="91"/>
    </row>
    <row r="10" spans="1:12" ht="15" customHeight="1" x14ac:dyDescent="0.3">
      <c r="A10" s="4"/>
      <c r="C10" s="165"/>
      <c r="D10" s="224"/>
      <c r="E10" s="224"/>
      <c r="F10" s="392"/>
      <c r="G10" s="217"/>
      <c r="H10" s="165" t="s">
        <v>444</v>
      </c>
      <c r="I10" s="1397">
        <f>SUM(I11:I17)</f>
        <v>1350000</v>
      </c>
      <c r="J10" s="601">
        <f t="shared" si="0"/>
        <v>1350000</v>
      </c>
      <c r="K10" s="218"/>
      <c r="L10" s="91"/>
    </row>
    <row r="11" spans="1:12" ht="15" customHeight="1" x14ac:dyDescent="0.3">
      <c r="A11" s="4"/>
      <c r="C11" s="165"/>
      <c r="D11" s="224"/>
      <c r="E11" s="224"/>
      <c r="F11" s="392"/>
      <c r="G11" s="217"/>
      <c r="H11" s="165" t="s">
        <v>535</v>
      </c>
      <c r="I11" s="1916">
        <v>240000</v>
      </c>
      <c r="J11" s="608" t="e">
        <f>SUM(#REF!)</f>
        <v>#REF!</v>
      </c>
      <c r="K11" s="218"/>
      <c r="L11" s="91"/>
    </row>
    <row r="12" spans="1:12" ht="15" customHeight="1" x14ac:dyDescent="0.3">
      <c r="A12" s="4"/>
      <c r="C12" s="165"/>
      <c r="D12" s="224"/>
      <c r="E12" s="224"/>
      <c r="F12" s="392"/>
      <c r="G12" s="217"/>
      <c r="H12" s="2454" t="s">
        <v>637</v>
      </c>
      <c r="I12" s="1916">
        <v>80000</v>
      </c>
      <c r="J12" s="608">
        <f>SUM(I11)</f>
        <v>240000</v>
      </c>
      <c r="K12" s="218"/>
      <c r="L12" s="91"/>
    </row>
    <row r="13" spans="1:12" ht="15" customHeight="1" x14ac:dyDescent="0.3">
      <c r="A13" s="4"/>
      <c r="C13" s="165"/>
      <c r="D13" s="224"/>
      <c r="E13" s="224"/>
      <c r="F13" s="392"/>
      <c r="G13" s="217"/>
      <c r="H13" s="165" t="s">
        <v>585</v>
      </c>
      <c r="I13" s="1916">
        <v>250000</v>
      </c>
      <c r="J13" s="608">
        <f t="shared" si="0"/>
        <v>250000</v>
      </c>
      <c r="K13" s="218"/>
      <c r="L13" s="91"/>
    </row>
    <row r="14" spans="1:12" ht="15" customHeight="1" x14ac:dyDescent="0.3">
      <c r="A14" s="4"/>
      <c r="C14" s="165"/>
      <c r="D14" s="224"/>
      <c r="E14" s="224"/>
      <c r="F14" s="392"/>
      <c r="G14" s="217"/>
      <c r="H14" s="165" t="s">
        <v>613</v>
      </c>
      <c r="I14" s="1916">
        <v>80000</v>
      </c>
      <c r="J14" s="608"/>
      <c r="K14" s="218"/>
      <c r="L14" s="91"/>
    </row>
    <row r="15" spans="1:12" ht="15" customHeight="1" x14ac:dyDescent="0.3">
      <c r="A15" s="4"/>
      <c r="C15" s="165"/>
      <c r="D15" s="224"/>
      <c r="E15" s="224"/>
      <c r="F15" s="392"/>
      <c r="G15" s="217"/>
      <c r="H15" s="165" t="s">
        <v>590</v>
      </c>
      <c r="I15" s="1916">
        <v>80000</v>
      </c>
      <c r="J15" s="608">
        <f t="shared" si="0"/>
        <v>80000</v>
      </c>
      <c r="K15" s="218"/>
      <c r="L15" s="91"/>
    </row>
    <row r="16" spans="1:12" ht="15" customHeight="1" x14ac:dyDescent="0.3">
      <c r="A16" s="4"/>
      <c r="C16" s="165"/>
      <c r="D16" s="224"/>
      <c r="E16" s="224"/>
      <c r="F16" s="392"/>
      <c r="G16" s="217"/>
      <c r="H16" s="165" t="s">
        <v>591</v>
      </c>
      <c r="I16" s="1916">
        <v>120000</v>
      </c>
      <c r="J16" s="608">
        <f t="shared" si="0"/>
        <v>120000</v>
      </c>
      <c r="K16" s="218"/>
      <c r="L16" s="91"/>
    </row>
    <row r="17" spans="1:12" ht="15" customHeight="1" thickBot="1" x14ac:dyDescent="0.35">
      <c r="A17" s="4"/>
      <c r="C17" s="541"/>
      <c r="D17" s="542"/>
      <c r="E17" s="542"/>
      <c r="F17" s="755"/>
      <c r="G17" s="217"/>
      <c r="H17" s="541" t="s">
        <v>445</v>
      </c>
      <c r="I17" s="2051">
        <v>500000</v>
      </c>
      <c r="J17" s="608">
        <f t="shared" si="0"/>
        <v>500000</v>
      </c>
      <c r="K17" s="219"/>
      <c r="L17" s="91"/>
    </row>
    <row r="18" spans="1:12" ht="15" customHeight="1" thickBot="1" x14ac:dyDescent="0.35">
      <c r="A18"/>
      <c r="B18" s="367"/>
      <c r="C18" s="499" t="s">
        <v>53</v>
      </c>
      <c r="D18" s="396">
        <f>SUM(D6:D17)</f>
        <v>0</v>
      </c>
      <c r="E18" s="2052">
        <f>SUM(E6:E17)</f>
        <v>0</v>
      </c>
      <c r="F18" s="494"/>
      <c r="G18" s="221"/>
      <c r="H18" s="397"/>
      <c r="I18" s="1399">
        <f>SUM(I6:I10)</f>
        <v>6056000</v>
      </c>
      <c r="J18" s="494">
        <f>SUM(J6:J10)</f>
        <v>5156000</v>
      </c>
      <c r="K18" s="215">
        <f>SUM(K6:K16)</f>
        <v>145</v>
      </c>
      <c r="L18" s="91"/>
    </row>
    <row r="19" spans="1:12" ht="15" customHeight="1" thickBot="1" x14ac:dyDescent="0.35">
      <c r="A19"/>
      <c r="B19"/>
      <c r="C19" s="397" t="s">
        <v>368</v>
      </c>
      <c r="D19" s="739"/>
      <c r="E19" s="221"/>
      <c r="F19" s="222"/>
      <c r="G19" s="222"/>
      <c r="H19" s="398"/>
      <c r="I19" s="1912">
        <f>SUM(D18+I18)</f>
        <v>6056000</v>
      </c>
      <c r="J19" s="493"/>
      <c r="K19" s="216">
        <f>SUM(D18+I18)</f>
        <v>6056000</v>
      </c>
      <c r="L19" s="91"/>
    </row>
    <row r="20" spans="1:12" ht="0.15" customHeight="1" thickBot="1" x14ac:dyDescent="0.35">
      <c r="A20"/>
      <c r="B20"/>
      <c r="C20" s="397" t="s">
        <v>369</v>
      </c>
      <c r="D20" s="267"/>
      <c r="E20" s="221"/>
      <c r="F20" s="222"/>
      <c r="G20" s="222"/>
      <c r="H20" s="398"/>
      <c r="I20" s="222"/>
      <c r="J20" s="493">
        <f>SUM(J18+E18)</f>
        <v>5156000</v>
      </c>
      <c r="K20" s="216">
        <f>SUM(E18+J18)</f>
        <v>5156000</v>
      </c>
      <c r="L20" s="91"/>
    </row>
    <row r="21" spans="1:12" s="2053" customFormat="1" ht="0.15" customHeight="1" thickBot="1" x14ac:dyDescent="0.35">
      <c r="C21" s="2054" t="s">
        <v>431</v>
      </c>
      <c r="D21" s="2055"/>
      <c r="E21" s="2056"/>
      <c r="F21" s="2057"/>
      <c r="G21" s="2057"/>
      <c r="H21" s="2058"/>
      <c r="I21" s="2057"/>
      <c r="J21" s="2059"/>
      <c r="K21" s="2060">
        <f>SUM(K18+F18)</f>
        <v>145</v>
      </c>
      <c r="L21" s="2061"/>
    </row>
    <row r="22" spans="1:12" s="21" customFormat="1" ht="15" customHeight="1" thickBot="1" x14ac:dyDescent="0.4">
      <c r="A22" s="20" t="s">
        <v>6</v>
      </c>
      <c r="B22" s="20"/>
      <c r="C22"/>
      <c r="D22"/>
      <c r="E22" s="503"/>
      <c r="F22" s="25"/>
      <c r="G22" s="25"/>
      <c r="H22"/>
      <c r="I22"/>
      <c r="J22"/>
      <c r="K22" s="756">
        <f>SUM(K21/K20)</f>
        <v>2.8122575640031033E-5</v>
      </c>
    </row>
    <row r="23" spans="1:12" ht="15" customHeight="1" x14ac:dyDescent="0.35">
      <c r="A23"/>
      <c r="B23"/>
      <c r="C23" s="20"/>
      <c r="D23" s="21"/>
      <c r="E23" s="21"/>
      <c r="F23" s="6"/>
    </row>
    <row r="24" spans="1:12" x14ac:dyDescent="0.25">
      <c r="C24"/>
      <c r="D24" s="1"/>
      <c r="E24" s="1"/>
      <c r="F24" s="17"/>
      <c r="G24"/>
      <c r="H24"/>
    </row>
    <row r="25" spans="1:12" x14ac:dyDescent="0.25">
      <c r="A25" s="5"/>
      <c r="B25" s="5"/>
    </row>
    <row r="26" spans="1:12" x14ac:dyDescent="0.25">
      <c r="A26" s="7"/>
      <c r="B26" s="7"/>
      <c r="C26" s="5"/>
    </row>
    <row r="27" spans="1:12" x14ac:dyDescent="0.25">
      <c r="A27" s="7"/>
      <c r="B27" s="7"/>
      <c r="C27" s="7"/>
    </row>
    <row r="28" spans="1:12" x14ac:dyDescent="0.25">
      <c r="A28" s="7"/>
      <c r="B28" s="7"/>
      <c r="C28" s="7"/>
    </row>
    <row r="29" spans="1:12" x14ac:dyDescent="0.25">
      <c r="A29" s="7"/>
      <c r="B29" s="7"/>
      <c r="C29" s="7"/>
    </row>
    <row r="30" spans="1:12" x14ac:dyDescent="0.25">
      <c r="A30" s="7"/>
      <c r="B30" s="7"/>
      <c r="C30" s="7"/>
    </row>
    <row r="31" spans="1:12" x14ac:dyDescent="0.25">
      <c r="A31" s="7"/>
      <c r="B31" s="7"/>
      <c r="C31" s="7"/>
    </row>
    <row r="32" spans="1:12" x14ac:dyDescent="0.25">
      <c r="A32" s="7"/>
      <c r="B32" s="7"/>
      <c r="C32" s="7"/>
    </row>
    <row r="33" spans="1:3" x14ac:dyDescent="0.25">
      <c r="A33" s="7"/>
      <c r="B33" s="7"/>
      <c r="C33" s="7"/>
    </row>
    <row r="34" spans="1:3" x14ac:dyDescent="0.25">
      <c r="A34" s="7"/>
      <c r="B34" s="7"/>
      <c r="C34" s="7"/>
    </row>
    <row r="35" spans="1:3" x14ac:dyDescent="0.25">
      <c r="A35" s="7"/>
      <c r="B35" s="7"/>
      <c r="C35" s="7"/>
    </row>
    <row r="36" spans="1:3" x14ac:dyDescent="0.25">
      <c r="A36" s="7"/>
      <c r="B36" s="7"/>
      <c r="C36" s="7"/>
    </row>
    <row r="37" spans="1:3" x14ac:dyDescent="0.25">
      <c r="A37" s="7"/>
      <c r="B37" s="7"/>
      <c r="C37" s="7"/>
    </row>
    <row r="38" spans="1:3" x14ac:dyDescent="0.25">
      <c r="A38" s="7"/>
      <c r="B38" s="7"/>
      <c r="C38" s="7"/>
    </row>
    <row r="39" spans="1:3" x14ac:dyDescent="0.25">
      <c r="A39" s="7"/>
      <c r="B39" s="7"/>
      <c r="C39" s="7"/>
    </row>
    <row r="40" spans="1:3" x14ac:dyDescent="0.25">
      <c r="A40" s="7"/>
      <c r="B40" s="7"/>
      <c r="C40" s="7"/>
    </row>
    <row r="41" spans="1:3" x14ac:dyDescent="0.25">
      <c r="A41" s="7"/>
      <c r="B41" s="7"/>
      <c r="C41" s="7"/>
    </row>
    <row r="42" spans="1:3" x14ac:dyDescent="0.25">
      <c r="A42" s="7"/>
      <c r="B42" s="7"/>
      <c r="C42" s="7"/>
    </row>
    <row r="43" spans="1:3" x14ac:dyDescent="0.25">
      <c r="A43" s="7"/>
      <c r="B43" s="7"/>
      <c r="C43" s="7"/>
    </row>
    <row r="44" spans="1:3" x14ac:dyDescent="0.25">
      <c r="A44" s="6"/>
      <c r="B44" s="6"/>
      <c r="C44" s="7"/>
    </row>
    <row r="45" spans="1:3" x14ac:dyDescent="0.25">
      <c r="A45" s="1"/>
      <c r="B45" s="1"/>
      <c r="C45" s="6"/>
    </row>
    <row r="46" spans="1:3" x14ac:dyDescent="0.25">
      <c r="A46" s="18"/>
      <c r="B46" s="18"/>
      <c r="C46" s="1"/>
    </row>
    <row r="47" spans="1:3" x14ac:dyDescent="0.25">
      <c r="A47" s="18"/>
      <c r="B47" s="18"/>
      <c r="C47" s="18"/>
    </row>
    <row r="48" spans="1:3" x14ac:dyDescent="0.25">
      <c r="A48" s="18"/>
      <c r="B48" s="18"/>
      <c r="C48" s="18"/>
    </row>
    <row r="49" spans="1:12" s="2" customFormat="1" ht="15.6" x14ac:dyDescent="0.35">
      <c r="A49" s="19"/>
      <c r="B49" s="19"/>
      <c r="C49" s="18"/>
      <c r="D49"/>
      <c r="E49"/>
      <c r="F49"/>
      <c r="G49" s="1"/>
      <c r="H49" s="1"/>
      <c r="I49"/>
      <c r="J49"/>
      <c r="K49"/>
      <c r="L49" s="1"/>
    </row>
    <row r="50" spans="1:12" ht="15.6" x14ac:dyDescent="0.35">
      <c r="A50" s="18"/>
      <c r="B50" s="18"/>
      <c r="C50" s="19"/>
    </row>
    <row r="51" spans="1:12" x14ac:dyDescent="0.25">
      <c r="A51"/>
      <c r="B51"/>
      <c r="C51" s="18"/>
    </row>
    <row r="52" spans="1:12" x14ac:dyDescent="0.25">
      <c r="A52"/>
      <c r="B52"/>
      <c r="C52"/>
    </row>
    <row r="53" spans="1:12" x14ac:dyDescent="0.25">
      <c r="A53"/>
      <c r="B53"/>
      <c r="C53"/>
    </row>
    <row r="54" spans="1:12" x14ac:dyDescent="0.25">
      <c r="A54"/>
      <c r="B54"/>
      <c r="C54"/>
    </row>
    <row r="55" spans="1:12" x14ac:dyDescent="0.25">
      <c r="A55"/>
      <c r="B55"/>
      <c r="C55"/>
    </row>
    <row r="56" spans="1:12" x14ac:dyDescent="0.25">
      <c r="A56" s="18"/>
      <c r="B56" s="18"/>
      <c r="C56"/>
    </row>
    <row r="57" spans="1:12" x14ac:dyDescent="0.25">
      <c r="A57" s="18"/>
      <c r="B57" s="18"/>
      <c r="C57" s="18"/>
    </row>
    <row r="58" spans="1:12" ht="15.6" x14ac:dyDescent="0.35">
      <c r="A58" s="18"/>
      <c r="B58" s="18"/>
      <c r="C58" s="18"/>
      <c r="L58" s="2"/>
    </row>
    <row r="59" spans="1:12" x14ac:dyDescent="0.25">
      <c r="A59" s="18"/>
      <c r="B59" s="18"/>
      <c r="C59" s="18"/>
    </row>
    <row r="60" spans="1:12" x14ac:dyDescent="0.25">
      <c r="A60" s="18"/>
      <c r="B60" s="18"/>
      <c r="C60" s="18"/>
    </row>
    <row r="61" spans="1:12" x14ac:dyDescent="0.25">
      <c r="A61" s="4"/>
      <c r="C61" s="18"/>
    </row>
    <row r="62" spans="1:12" x14ac:dyDescent="0.25">
      <c r="A62" s="4"/>
    </row>
    <row r="63" spans="1:12" x14ac:dyDescent="0.25">
      <c r="A63" s="4"/>
    </row>
    <row r="64" spans="1:12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  <row r="76" spans="1:1" x14ac:dyDescent="0.25">
      <c r="A76" s="24"/>
    </row>
    <row r="77" spans="1:1" x14ac:dyDescent="0.25">
      <c r="A77" s="24"/>
    </row>
    <row r="78" spans="1:1" x14ac:dyDescent="0.25">
      <c r="A78" s="24"/>
    </row>
    <row r="79" spans="1:1" x14ac:dyDescent="0.25">
      <c r="A79" s="24"/>
    </row>
    <row r="80" spans="1:1" x14ac:dyDescent="0.25">
      <c r="A80" s="24"/>
    </row>
    <row r="81" spans="1:1" x14ac:dyDescent="0.25">
      <c r="A81" s="24"/>
    </row>
    <row r="82" spans="1:1" x14ac:dyDescent="0.25">
      <c r="A82" s="24"/>
    </row>
    <row r="83" spans="1:1" x14ac:dyDescent="0.25">
      <c r="A83" s="24"/>
    </row>
    <row r="84" spans="1:1" x14ac:dyDescent="0.25">
      <c r="A84" s="24"/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4"/>
    </row>
    <row r="89" spans="1:1" x14ac:dyDescent="0.25">
      <c r="A89" s="24"/>
    </row>
    <row r="90" spans="1:1" x14ac:dyDescent="0.25">
      <c r="A90" s="24"/>
    </row>
    <row r="91" spans="1:1" x14ac:dyDescent="0.25">
      <c r="A91" s="24"/>
    </row>
    <row r="92" spans="1:1" x14ac:dyDescent="0.25">
      <c r="A92" s="24"/>
    </row>
    <row r="93" spans="1:1" x14ac:dyDescent="0.25">
      <c r="A93" s="24"/>
    </row>
    <row r="94" spans="1:1" x14ac:dyDescent="0.25">
      <c r="A94" s="24"/>
    </row>
    <row r="95" spans="1:1" x14ac:dyDescent="0.25">
      <c r="A95" s="24"/>
    </row>
    <row r="96" spans="1:1" x14ac:dyDescent="0.25">
      <c r="A96" s="24"/>
    </row>
    <row r="97" spans="1:1" x14ac:dyDescent="0.25">
      <c r="A97" s="23"/>
    </row>
    <row r="98" spans="1:1" x14ac:dyDescent="0.25">
      <c r="A98" s="23"/>
    </row>
    <row r="99" spans="1:1" x14ac:dyDescent="0.25">
      <c r="A99" s="23"/>
    </row>
  </sheetData>
  <mergeCells count="1">
    <mergeCell ref="C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8">
    <pageSetUpPr fitToPage="1"/>
  </sheetPr>
  <dimension ref="A1:I87"/>
  <sheetViews>
    <sheetView topLeftCell="A33" workbookViewId="0">
      <selection activeCell="A43" sqref="A43:G83"/>
    </sheetView>
  </sheetViews>
  <sheetFormatPr defaultRowHeight="12.6" x14ac:dyDescent="0.25"/>
  <cols>
    <col min="1" max="1" width="11.5546875" style="317" customWidth="1"/>
    <col min="2" max="2" width="35.33203125" customWidth="1"/>
    <col min="3" max="7" width="12.6640625" customWidth="1"/>
    <col min="8" max="8" width="9.88671875" bestFit="1" customWidth="1"/>
    <col min="9" max="9" width="9.5546875" bestFit="1" customWidth="1"/>
  </cols>
  <sheetData>
    <row r="1" spans="1:9" ht="31.5" customHeight="1" thickBot="1" x14ac:dyDescent="0.4">
      <c r="A1" s="2553" t="s">
        <v>572</v>
      </c>
      <c r="B1" s="2584"/>
      <c r="C1" s="2584"/>
      <c r="D1" s="2584"/>
      <c r="E1" s="2584"/>
      <c r="F1" s="2584"/>
      <c r="G1" s="2613"/>
    </row>
    <row r="2" spans="1:9" ht="0.75" customHeight="1" x14ac:dyDescent="0.35">
      <c r="A2" s="313"/>
      <c r="B2" s="30"/>
      <c r="G2" s="60"/>
    </row>
    <row r="3" spans="1:9" ht="0.75" customHeight="1" x14ac:dyDescent="0.25">
      <c r="A3" s="314"/>
      <c r="G3" s="60"/>
    </row>
    <row r="4" spans="1:9" ht="0.75" customHeight="1" x14ac:dyDescent="0.25">
      <c r="A4" s="314"/>
      <c r="G4" s="60"/>
    </row>
    <row r="5" spans="1:9" ht="38.25" customHeight="1" x14ac:dyDescent="0.25">
      <c r="A5" s="319" t="s">
        <v>229</v>
      </c>
      <c r="B5" s="90" t="s">
        <v>238</v>
      </c>
      <c r="C5" s="75" t="s">
        <v>57</v>
      </c>
      <c r="D5" s="75" t="s">
        <v>90</v>
      </c>
      <c r="E5" s="75" t="s">
        <v>91</v>
      </c>
      <c r="F5" s="75" t="s">
        <v>379</v>
      </c>
      <c r="G5" s="121" t="s">
        <v>53</v>
      </c>
    </row>
    <row r="6" spans="1:9" ht="12.9" customHeight="1" x14ac:dyDescent="0.25">
      <c r="A6" s="411" t="s">
        <v>240</v>
      </c>
      <c r="B6" s="438" t="s">
        <v>98</v>
      </c>
      <c r="C6" s="1278"/>
      <c r="D6" s="1278"/>
      <c r="E6" s="1278"/>
      <c r="F6" s="1278"/>
      <c r="G6" s="2305"/>
      <c r="H6" s="1402"/>
      <c r="I6" s="1402"/>
    </row>
    <row r="7" spans="1:9" ht="12.9" customHeight="1" thickBot="1" x14ac:dyDescent="0.3">
      <c r="A7" s="323"/>
      <c r="B7" s="1222" t="s">
        <v>356</v>
      </c>
      <c r="C7" s="1315">
        <v>19338000</v>
      </c>
      <c r="D7" s="1315">
        <v>5304000</v>
      </c>
      <c r="E7" s="1315">
        <f>24674000+305000+1800000</f>
        <v>26779000</v>
      </c>
      <c r="F7" s="1315">
        <f>'15.a.sz.melléklet'!I7:I9+'15.a.sz.melléklet'!I9+'15.a.sz.melléklet'!I10+'15.a.sz.melléklet'!I11+'15.a.sz.melléklet'!I8</f>
        <v>2110000</v>
      </c>
      <c r="G7" s="2306">
        <f>SUM(C7:F7)</f>
        <v>53531000</v>
      </c>
      <c r="H7" s="1402"/>
      <c r="I7" s="1402"/>
    </row>
    <row r="8" spans="1:9" ht="0.15" customHeight="1" x14ac:dyDescent="0.25">
      <c r="A8" s="315"/>
      <c r="B8" s="76" t="s">
        <v>357</v>
      </c>
      <c r="C8" s="1278">
        <f>SUM(C7)+14+7</f>
        <v>19338021</v>
      </c>
      <c r="D8" s="1278">
        <f>SUM(D7)+4+1</f>
        <v>5304005</v>
      </c>
      <c r="E8" s="1278">
        <f t="shared" ref="E8:F8" si="0">SUM(E7)</f>
        <v>26779000</v>
      </c>
      <c r="F8" s="1278">
        <f t="shared" si="0"/>
        <v>2110000</v>
      </c>
      <c r="G8" s="2305">
        <f>SUM(C8:F8)</f>
        <v>53531026</v>
      </c>
      <c r="H8" s="1402"/>
      <c r="I8" s="1402"/>
    </row>
    <row r="9" spans="1:9" s="803" customFormat="1" ht="0.15" customHeight="1" thickBot="1" x14ac:dyDescent="0.3">
      <c r="A9" s="881"/>
      <c r="B9" s="1125" t="s">
        <v>355</v>
      </c>
      <c r="C9" s="1297">
        <v>10912</v>
      </c>
      <c r="D9" s="1297">
        <v>3525</v>
      </c>
      <c r="E9" s="1297">
        <v>13389</v>
      </c>
      <c r="F9" s="1297">
        <v>1550</v>
      </c>
      <c r="G9" s="2307">
        <f>SUM(C9:F9)</f>
        <v>29376</v>
      </c>
      <c r="H9" s="2308"/>
      <c r="I9" s="2308"/>
    </row>
    <row r="10" spans="1:9" s="803" customFormat="1" ht="26.25" customHeight="1" x14ac:dyDescent="0.25">
      <c r="A10" s="1126" t="s">
        <v>477</v>
      </c>
      <c r="B10" s="1127" t="s">
        <v>478</v>
      </c>
      <c r="C10" s="1793"/>
      <c r="D10" s="1793"/>
      <c r="E10" s="1793"/>
      <c r="F10" s="1793"/>
      <c r="G10" s="2309"/>
      <c r="H10" s="2308"/>
      <c r="I10" s="2308"/>
    </row>
    <row r="11" spans="1:9" s="803" customFormat="1" ht="12.9" customHeight="1" thickBot="1" x14ac:dyDescent="0.3">
      <c r="A11" s="1226"/>
      <c r="B11" s="1222" t="s">
        <v>356</v>
      </c>
      <c r="C11" s="1794"/>
      <c r="D11" s="1794"/>
      <c r="E11" s="1794">
        <f>708000-254000</f>
        <v>454000</v>
      </c>
      <c r="F11" s="1794">
        <f>'15.a.sz.melléklet'!I6</f>
        <v>1680000</v>
      </c>
      <c r="G11" s="2310">
        <f>SUM(C11:F11)</f>
        <v>2134000</v>
      </c>
      <c r="H11" s="2308"/>
      <c r="I11" s="2308"/>
    </row>
    <row r="12" spans="1:9" s="803" customFormat="1" ht="0.15" customHeight="1" x14ac:dyDescent="0.25">
      <c r="A12" s="1118"/>
      <c r="B12" s="760" t="s">
        <v>357</v>
      </c>
      <c r="C12" s="2311"/>
      <c r="D12" s="2311"/>
      <c r="E12" s="2311"/>
      <c r="F12" s="2311">
        <v>2113</v>
      </c>
      <c r="G12" s="2312">
        <f>SUM(C12:F12)</f>
        <v>2113</v>
      </c>
      <c r="H12" s="2308"/>
      <c r="I12" s="2308"/>
    </row>
    <row r="13" spans="1:9" s="803" customFormat="1" ht="0.15" customHeight="1" thickBot="1" x14ac:dyDescent="0.3">
      <c r="A13" s="816"/>
      <c r="B13" s="817" t="s">
        <v>355</v>
      </c>
      <c r="C13" s="1294"/>
      <c r="D13" s="1294"/>
      <c r="E13" s="1294"/>
      <c r="F13" s="1294"/>
      <c r="G13" s="2313"/>
      <c r="H13" s="2308"/>
      <c r="I13" s="2308"/>
    </row>
    <row r="14" spans="1:9" ht="12.9" customHeight="1" x14ac:dyDescent="0.25">
      <c r="A14" s="411" t="s">
        <v>239</v>
      </c>
      <c r="B14" s="438" t="s">
        <v>3</v>
      </c>
      <c r="C14" s="1278"/>
      <c r="D14" s="1278"/>
      <c r="E14" s="1278"/>
      <c r="F14" s="1278"/>
      <c r="G14" s="2305"/>
      <c r="H14" s="1402"/>
      <c r="I14" s="1402"/>
    </row>
    <row r="15" spans="1:9" ht="12.9" customHeight="1" thickBot="1" x14ac:dyDescent="0.3">
      <c r="A15" s="311"/>
      <c r="B15" s="436" t="s">
        <v>356</v>
      </c>
      <c r="C15" s="1341">
        <v>8799000</v>
      </c>
      <c r="D15" s="1341">
        <v>1916000</v>
      </c>
      <c r="E15" s="1341">
        <f>373000+254000</f>
        <v>627000</v>
      </c>
      <c r="F15" s="1341"/>
      <c r="G15" s="2305">
        <f>SUM(C15:F15)</f>
        <v>11342000</v>
      </c>
      <c r="H15" s="1402"/>
      <c r="I15" s="1402"/>
    </row>
    <row r="16" spans="1:9" ht="0.15" customHeight="1" x14ac:dyDescent="0.25">
      <c r="A16" s="1124"/>
      <c r="B16" s="146" t="s">
        <v>357</v>
      </c>
      <c r="C16" s="1292">
        <f>SUM(C15)</f>
        <v>8799000</v>
      </c>
      <c r="D16" s="1292">
        <f t="shared" ref="D16:E16" si="1">SUM(D15)</f>
        <v>1916000</v>
      </c>
      <c r="E16" s="1292">
        <f t="shared" si="1"/>
        <v>627000</v>
      </c>
      <c r="F16" s="1292">
        <f>SUM(F15)+433-2113</f>
        <v>-1680</v>
      </c>
      <c r="G16" s="2314">
        <f>SUM(C16:F16)</f>
        <v>11340320</v>
      </c>
      <c r="H16" s="1402"/>
      <c r="I16" s="1402"/>
    </row>
    <row r="17" spans="1:9" s="803" customFormat="1" ht="0.15" customHeight="1" thickBot="1" x14ac:dyDescent="0.3">
      <c r="A17" s="887"/>
      <c r="B17" s="893" t="s">
        <v>355</v>
      </c>
      <c r="C17" s="2315">
        <v>4799</v>
      </c>
      <c r="D17" s="2315">
        <v>1220</v>
      </c>
      <c r="E17" s="2315">
        <v>349</v>
      </c>
      <c r="F17" s="2315">
        <v>637</v>
      </c>
      <c r="G17" s="1921">
        <f>SUM(C17:F17)</f>
        <v>7005</v>
      </c>
      <c r="H17" s="2308"/>
      <c r="I17" s="2308"/>
    </row>
    <row r="18" spans="1:9" ht="12.9" customHeight="1" x14ac:dyDescent="0.25">
      <c r="A18" s="2634" t="s">
        <v>94</v>
      </c>
      <c r="B18" s="2635"/>
      <c r="C18" s="1363"/>
      <c r="D18" s="1363"/>
      <c r="E18" s="1363"/>
      <c r="F18" s="1363"/>
      <c r="G18" s="2316"/>
      <c r="H18" s="1402"/>
      <c r="I18" s="1402"/>
    </row>
    <row r="19" spans="1:9" ht="12.9" customHeight="1" thickBot="1" x14ac:dyDescent="0.3">
      <c r="A19" s="1122"/>
      <c r="B19" s="1123" t="s">
        <v>356</v>
      </c>
      <c r="C19" s="2317">
        <f>C7+C15+C11</f>
        <v>28137000</v>
      </c>
      <c r="D19" s="2317">
        <f t="shared" ref="D19:F19" si="2">D7+D15+D11</f>
        <v>7220000</v>
      </c>
      <c r="E19" s="2317">
        <f t="shared" si="2"/>
        <v>27860000</v>
      </c>
      <c r="F19" s="2317">
        <f t="shared" si="2"/>
        <v>3790000</v>
      </c>
      <c r="G19" s="2317">
        <f>G7+G15+G11</f>
        <v>67007000</v>
      </c>
      <c r="H19" s="1402"/>
      <c r="I19" s="1402"/>
    </row>
    <row r="20" spans="1:9" ht="0.15" customHeight="1" x14ac:dyDescent="0.25">
      <c r="A20" s="1119"/>
      <c r="B20" s="1120" t="s">
        <v>357</v>
      </c>
      <c r="C20" s="1121">
        <f>C8+C16+C12</f>
        <v>28137021</v>
      </c>
      <c r="D20" s="1121">
        <f t="shared" ref="D20:G20" si="3">D8+D16+D12</f>
        <v>7220005</v>
      </c>
      <c r="E20" s="1121">
        <f t="shared" si="3"/>
        <v>27406000</v>
      </c>
      <c r="F20" s="1121">
        <f t="shared" si="3"/>
        <v>2110433</v>
      </c>
      <c r="G20" s="1121">
        <f t="shared" si="3"/>
        <v>64873459</v>
      </c>
      <c r="I20" s="82"/>
    </row>
    <row r="21" spans="1:9" s="803" customFormat="1" ht="0.15" customHeight="1" x14ac:dyDescent="0.25">
      <c r="A21" s="888"/>
      <c r="B21" s="819" t="s">
        <v>355</v>
      </c>
      <c r="C21" s="853">
        <f>C9+C17</f>
        <v>15711</v>
      </c>
      <c r="D21" s="853">
        <f>D9+D17</f>
        <v>4745</v>
      </c>
      <c r="E21" s="853">
        <f>E9+E17</f>
        <v>13738</v>
      </c>
      <c r="F21" s="853">
        <f>F9+F17</f>
        <v>2187</v>
      </c>
      <c r="G21" s="855">
        <f>G9+G17</f>
        <v>36381</v>
      </c>
      <c r="I21" s="857"/>
    </row>
    <row r="22" spans="1:9" s="803" customFormat="1" ht="12.6" customHeight="1" thickBot="1" x14ac:dyDescent="0.3">
      <c r="A22" s="894"/>
      <c r="B22" s="817" t="s">
        <v>427</v>
      </c>
      <c r="C22" s="859">
        <f>SUM(C21/C20)</f>
        <v>5.5837467655157945E-4</v>
      </c>
      <c r="D22" s="859">
        <f t="shared" ref="D22:G22" si="4">SUM(D21/D20)</f>
        <v>6.5720176094060875E-4</v>
      </c>
      <c r="E22" s="859">
        <f t="shared" si="4"/>
        <v>5.0127709260745822E-4</v>
      </c>
      <c r="F22" s="859">
        <f t="shared" si="4"/>
        <v>1.0362802325399574E-3</v>
      </c>
      <c r="G22" s="884">
        <f t="shared" si="4"/>
        <v>5.6079944804546342E-4</v>
      </c>
      <c r="I22" s="857"/>
    </row>
    <row r="23" spans="1:9" ht="12.6" customHeight="1" thickBot="1" x14ac:dyDescent="0.3">
      <c r="A23" s="316"/>
      <c r="B23" s="59"/>
      <c r="C23" s="252"/>
      <c r="D23" s="252"/>
      <c r="E23" s="252"/>
      <c r="F23" s="252"/>
      <c r="G23" s="253"/>
    </row>
    <row r="24" spans="1:9" ht="31.5" customHeight="1" x14ac:dyDescent="0.25">
      <c r="A24" s="896" t="s">
        <v>229</v>
      </c>
      <c r="B24" s="191" t="s">
        <v>238</v>
      </c>
      <c r="C24" s="880" t="s">
        <v>95</v>
      </c>
      <c r="D24" s="880" t="s">
        <v>288</v>
      </c>
      <c r="E24" s="880" t="s">
        <v>428</v>
      </c>
      <c r="F24" s="897"/>
      <c r="G24" s="898"/>
    </row>
    <row r="25" spans="1:9" ht="12.6" customHeight="1" x14ac:dyDescent="0.25">
      <c r="A25" s="1128" t="s">
        <v>284</v>
      </c>
      <c r="B25" s="1099" t="s">
        <v>286</v>
      </c>
      <c r="C25" s="2318"/>
      <c r="D25" s="1314"/>
      <c r="E25" s="2318"/>
      <c r="F25" s="2318"/>
      <c r="G25" s="1378"/>
      <c r="H25" s="1402"/>
    </row>
    <row r="26" spans="1:9" ht="12.6" customHeight="1" thickBot="1" x14ac:dyDescent="0.3">
      <c r="A26" s="1224"/>
      <c r="B26" s="381" t="s">
        <v>356</v>
      </c>
      <c r="C26" s="2319"/>
      <c r="D26" s="1357">
        <f>SUM(G19-C38-E38)</f>
        <v>58852000</v>
      </c>
      <c r="E26" s="2319"/>
      <c r="F26" s="2319"/>
      <c r="G26" s="1358">
        <f>SUM(D26:F26)</f>
        <v>58852000</v>
      </c>
      <c r="H26" s="1402"/>
    </row>
    <row r="27" spans="1:9" ht="0.15" customHeight="1" x14ac:dyDescent="0.25">
      <c r="A27" s="1223"/>
      <c r="B27" s="760" t="s">
        <v>357</v>
      </c>
      <c r="C27" s="2320"/>
      <c r="D27" s="1339">
        <f>G20-C30-C34</f>
        <v>58018459</v>
      </c>
      <c r="E27" s="2320"/>
      <c r="F27" s="2320"/>
      <c r="G27" s="1359">
        <f>SUM(D27:F27)</f>
        <v>58018459</v>
      </c>
      <c r="H27" s="1402"/>
    </row>
    <row r="28" spans="1:9" s="803" customFormat="1" ht="0.15" customHeight="1" x14ac:dyDescent="0.25">
      <c r="A28" s="1129"/>
      <c r="B28" s="815" t="s">
        <v>355</v>
      </c>
      <c r="C28" s="2321"/>
      <c r="D28" s="2322">
        <v>31196</v>
      </c>
      <c r="E28" s="2321"/>
      <c r="F28" s="2321"/>
      <c r="G28" s="2323">
        <f>SUM(D28:F28)</f>
        <v>31196</v>
      </c>
      <c r="H28" s="2308"/>
    </row>
    <row r="29" spans="1:9" ht="12.6" customHeight="1" x14ac:dyDescent="0.25">
      <c r="A29" s="425" t="s">
        <v>240</v>
      </c>
      <c r="B29" s="400" t="s">
        <v>98</v>
      </c>
      <c r="C29" s="1292"/>
      <c r="D29" s="1292"/>
      <c r="E29" s="1292"/>
      <c r="F29" s="1292"/>
      <c r="G29" s="1373"/>
      <c r="H29" s="1402"/>
    </row>
    <row r="30" spans="1:9" ht="12.6" customHeight="1" thickBot="1" x14ac:dyDescent="0.3">
      <c r="A30" s="323"/>
      <c r="B30" s="381" t="s">
        <v>356</v>
      </c>
      <c r="C30" s="1315">
        <v>6650000</v>
      </c>
      <c r="D30" s="1315"/>
      <c r="E30" s="1315">
        <v>1300000</v>
      </c>
      <c r="F30" s="1315"/>
      <c r="G30" s="1358">
        <f>SUM(C30:F30)</f>
        <v>7950000</v>
      </c>
      <c r="H30" s="1402"/>
    </row>
    <row r="31" spans="1:9" ht="0.15" customHeight="1" x14ac:dyDescent="0.25">
      <c r="A31" s="315"/>
      <c r="B31" s="760" t="s">
        <v>357</v>
      </c>
      <c r="C31" s="1278">
        <f>SUM(C30)</f>
        <v>6650000</v>
      </c>
      <c r="D31" s="1278"/>
      <c r="E31" s="1278"/>
      <c r="F31" s="1278"/>
      <c r="G31" s="1359">
        <f>SUM(C31:F31)</f>
        <v>6650000</v>
      </c>
      <c r="H31" s="1402"/>
    </row>
    <row r="32" spans="1:9" s="803" customFormat="1" ht="0.15" customHeight="1" x14ac:dyDescent="0.25">
      <c r="A32" s="1117"/>
      <c r="B32" s="815" t="s">
        <v>355</v>
      </c>
      <c r="C32" s="1312">
        <v>3744</v>
      </c>
      <c r="D32" s="1312"/>
      <c r="E32" s="1312">
        <f>366+1246</f>
        <v>1612</v>
      </c>
      <c r="F32" s="1312"/>
      <c r="G32" s="2323">
        <f>SUM(C32:F32)</f>
        <v>5356</v>
      </c>
      <c r="H32" s="2308"/>
    </row>
    <row r="33" spans="1:9" ht="12.6" customHeight="1" x14ac:dyDescent="0.25">
      <c r="A33" s="425" t="s">
        <v>239</v>
      </c>
      <c r="B33" s="400" t="s">
        <v>3</v>
      </c>
      <c r="C33" s="1292"/>
      <c r="D33" s="1292"/>
      <c r="E33" s="1292"/>
      <c r="F33" s="1292"/>
      <c r="G33" s="1373"/>
      <c r="H33" s="1402"/>
    </row>
    <row r="34" spans="1:9" ht="12.6" customHeight="1" thickBot="1" x14ac:dyDescent="0.3">
      <c r="A34" s="311"/>
      <c r="B34" s="146" t="s">
        <v>356</v>
      </c>
      <c r="C34" s="1292">
        <v>205000</v>
      </c>
      <c r="D34" s="1292"/>
      <c r="E34" s="1292"/>
      <c r="F34" s="1292"/>
      <c r="G34" s="1373">
        <f>SUM(C34:F34)</f>
        <v>205000</v>
      </c>
      <c r="H34" s="1402"/>
    </row>
    <row r="35" spans="1:9" ht="0.15" customHeight="1" x14ac:dyDescent="0.25">
      <c r="A35" s="443"/>
      <c r="B35" s="146" t="s">
        <v>357</v>
      </c>
      <c r="C35" s="1292">
        <f>SUM(C34)</f>
        <v>205000</v>
      </c>
      <c r="D35" s="1292"/>
      <c r="E35" s="1292"/>
      <c r="F35" s="1292"/>
      <c r="G35" s="1359">
        <f>SUM(C35:F35)</f>
        <v>205000</v>
      </c>
      <c r="H35" s="1402"/>
    </row>
    <row r="36" spans="1:9" s="803" customFormat="1" ht="0.15" customHeight="1" thickBot="1" x14ac:dyDescent="0.3">
      <c r="A36" s="887"/>
      <c r="B36" s="886" t="s">
        <v>355</v>
      </c>
      <c r="C36" s="2315">
        <v>178</v>
      </c>
      <c r="D36" s="2315"/>
      <c r="E36" s="2315">
        <v>5</v>
      </c>
      <c r="F36" s="2315"/>
      <c r="G36" s="2324">
        <f>SUM(C36:F36)</f>
        <v>183</v>
      </c>
      <c r="H36" s="2308"/>
    </row>
    <row r="37" spans="1:9" ht="12.6" customHeight="1" x14ac:dyDescent="0.25">
      <c r="A37" s="2634" t="s">
        <v>96</v>
      </c>
      <c r="B37" s="2635"/>
      <c r="C37" s="1363"/>
      <c r="D37" s="1363"/>
      <c r="E37" s="1363"/>
      <c r="F37" s="1363"/>
      <c r="G37" s="2325"/>
      <c r="H37" s="1402"/>
      <c r="I37" s="82"/>
    </row>
    <row r="38" spans="1:9" ht="12.6" customHeight="1" thickBot="1" x14ac:dyDescent="0.3">
      <c r="A38" s="1122"/>
      <c r="B38" s="1123" t="s">
        <v>356</v>
      </c>
      <c r="C38" s="2317">
        <f>C26+C30+C34</f>
        <v>6855000</v>
      </c>
      <c r="D38" s="2317">
        <f t="shared" ref="C38:G40" si="5">D26+D30+D34</f>
        <v>58852000</v>
      </c>
      <c r="E38" s="2317">
        <f t="shared" si="5"/>
        <v>1300000</v>
      </c>
      <c r="F38" s="2317">
        <f t="shared" si="5"/>
        <v>0</v>
      </c>
      <c r="G38" s="2326">
        <f t="shared" si="5"/>
        <v>67007000</v>
      </c>
      <c r="H38" s="1402"/>
      <c r="I38" s="82"/>
    </row>
    <row r="39" spans="1:9" ht="0.15" customHeight="1" x14ac:dyDescent="0.25">
      <c r="A39" s="1119"/>
      <c r="B39" s="1120" t="s">
        <v>357</v>
      </c>
      <c r="C39" s="1121">
        <f t="shared" si="5"/>
        <v>6855000</v>
      </c>
      <c r="D39" s="1121">
        <f t="shared" si="5"/>
        <v>58018459</v>
      </c>
      <c r="E39" s="1121">
        <f t="shared" si="5"/>
        <v>0</v>
      </c>
      <c r="F39" s="1121">
        <f t="shared" si="5"/>
        <v>0</v>
      </c>
      <c r="G39" s="1130">
        <f t="shared" si="5"/>
        <v>64873459</v>
      </c>
      <c r="I39" s="82"/>
    </row>
    <row r="40" spans="1:9" s="803" customFormat="1" ht="0.15" customHeight="1" x14ac:dyDescent="0.25">
      <c r="A40" s="888"/>
      <c r="B40" s="819" t="s">
        <v>355</v>
      </c>
      <c r="C40" s="853">
        <f t="shared" si="5"/>
        <v>3922</v>
      </c>
      <c r="D40" s="853">
        <f t="shared" si="5"/>
        <v>31196</v>
      </c>
      <c r="E40" s="853">
        <f t="shared" si="5"/>
        <v>1617</v>
      </c>
      <c r="F40" s="853">
        <f t="shared" si="5"/>
        <v>0</v>
      </c>
      <c r="G40" s="855">
        <f t="shared" si="5"/>
        <v>36735</v>
      </c>
      <c r="I40" s="857"/>
    </row>
    <row r="41" spans="1:9" s="803" customFormat="1" ht="0.15" customHeight="1" thickBot="1" x14ac:dyDescent="0.3">
      <c r="A41" s="892"/>
      <c r="B41" s="817" t="s">
        <v>427</v>
      </c>
      <c r="C41" s="859">
        <f>SUM(C40)/C39</f>
        <v>5.7213712618526624E-4</v>
      </c>
      <c r="D41" s="859">
        <f t="shared" ref="D41:G41" si="6">SUM(D40)/D39</f>
        <v>5.3769094418726284E-4</v>
      </c>
      <c r="E41" s="859"/>
      <c r="F41" s="859"/>
      <c r="G41" s="859">
        <f t="shared" si="6"/>
        <v>5.6625622506116101E-4</v>
      </c>
    </row>
    <row r="42" spans="1:9" ht="12.6" customHeight="1" thickBot="1" x14ac:dyDescent="0.3"/>
    <row r="43" spans="1:9" ht="48.75" customHeight="1" thickBot="1" x14ac:dyDescent="0.4">
      <c r="A43" s="2553" t="s">
        <v>573</v>
      </c>
      <c r="B43" s="2584"/>
      <c r="C43" s="2584"/>
      <c r="D43" s="2584"/>
      <c r="E43" s="2584"/>
      <c r="F43" s="2584"/>
      <c r="G43" s="2613"/>
    </row>
    <row r="44" spans="1:9" ht="16.8" x14ac:dyDescent="0.25">
      <c r="A44" s="319" t="s">
        <v>229</v>
      </c>
      <c r="B44" s="90" t="s">
        <v>238</v>
      </c>
      <c r="C44" s="75" t="s">
        <v>57</v>
      </c>
      <c r="D44" s="75" t="s">
        <v>90</v>
      </c>
      <c r="E44" s="75" t="s">
        <v>91</v>
      </c>
      <c r="F44" s="75" t="s">
        <v>379</v>
      </c>
      <c r="G44" s="121" t="s">
        <v>53</v>
      </c>
    </row>
    <row r="45" spans="1:9" ht="12.6" customHeight="1" x14ac:dyDescent="0.25">
      <c r="A45" s="2616" t="s">
        <v>176</v>
      </c>
      <c r="B45" s="2617"/>
      <c r="C45" s="2327"/>
      <c r="D45" s="2327"/>
      <c r="E45" s="2327"/>
      <c r="F45" s="2327"/>
      <c r="G45" s="2328"/>
      <c r="H45" s="1402"/>
    </row>
    <row r="46" spans="1:9" ht="12.6" customHeight="1" x14ac:dyDescent="0.25">
      <c r="A46" s="425" t="s">
        <v>240</v>
      </c>
      <c r="B46" s="400" t="s">
        <v>98</v>
      </c>
      <c r="C46" s="1292"/>
      <c r="D46" s="1292"/>
      <c r="E46" s="1292"/>
      <c r="F46" s="1292"/>
      <c r="G46" s="2329"/>
      <c r="H46" s="1402"/>
    </row>
    <row r="47" spans="1:9" ht="12.6" customHeight="1" thickBot="1" x14ac:dyDescent="0.3">
      <c r="A47" s="323"/>
      <c r="B47" s="381" t="s">
        <v>356</v>
      </c>
      <c r="C47" s="1315">
        <f t="shared" ref="C47:E49" si="7">C7</f>
        <v>19338000</v>
      </c>
      <c r="D47" s="1315">
        <f t="shared" si="7"/>
        <v>5304000</v>
      </c>
      <c r="E47" s="1315">
        <f t="shared" si="7"/>
        <v>26779000</v>
      </c>
      <c r="F47" s="1315">
        <f>SUM(F7)</f>
        <v>2110000</v>
      </c>
      <c r="G47" s="2306">
        <f t="shared" ref="G47:G56" si="8">SUM(C47:F47)</f>
        <v>53531000</v>
      </c>
      <c r="H47" s="1402"/>
    </row>
    <row r="48" spans="1:9" ht="0.15" customHeight="1" x14ac:dyDescent="0.25">
      <c r="A48" s="315"/>
      <c r="B48" s="760" t="s">
        <v>357</v>
      </c>
      <c r="C48" s="1278">
        <f t="shared" si="7"/>
        <v>19338021</v>
      </c>
      <c r="D48" s="1278">
        <f t="shared" si="7"/>
        <v>5304005</v>
      </c>
      <c r="E48" s="1278">
        <f t="shared" si="7"/>
        <v>26779000</v>
      </c>
      <c r="F48" s="1278">
        <f>SUM(F8)</f>
        <v>2110000</v>
      </c>
      <c r="G48" s="2305">
        <f t="shared" si="8"/>
        <v>53531026</v>
      </c>
      <c r="H48" s="1402"/>
    </row>
    <row r="49" spans="1:8" s="803" customFormat="1" ht="0.15" customHeight="1" x14ac:dyDescent="0.25">
      <c r="A49" s="1117"/>
      <c r="B49" s="815" t="s">
        <v>355</v>
      </c>
      <c r="C49" s="1312">
        <f t="shared" si="7"/>
        <v>10912</v>
      </c>
      <c r="D49" s="1312">
        <f t="shared" si="7"/>
        <v>3525</v>
      </c>
      <c r="E49" s="1312">
        <f t="shared" si="7"/>
        <v>13389</v>
      </c>
      <c r="F49" s="1312">
        <f>SUM(F9)</f>
        <v>1550</v>
      </c>
      <c r="G49" s="2330">
        <f t="shared" ref="G49" si="9">SUM(C49:F49)</f>
        <v>29376</v>
      </c>
      <c r="H49" s="2308"/>
    </row>
    <row r="50" spans="1:8" s="803" customFormat="1" ht="21.75" customHeight="1" x14ac:dyDescent="0.25">
      <c r="A50" s="1126" t="s">
        <v>477</v>
      </c>
      <c r="B50" s="1127" t="s">
        <v>478</v>
      </c>
      <c r="C50" s="1793"/>
      <c r="D50" s="1793"/>
      <c r="E50" s="1793"/>
      <c r="F50" s="1793"/>
      <c r="G50" s="2309"/>
      <c r="H50" s="2308"/>
    </row>
    <row r="51" spans="1:8" s="803" customFormat="1" ht="12.6" customHeight="1" thickBot="1" x14ac:dyDescent="0.3">
      <c r="A51" s="1226"/>
      <c r="B51" s="381" t="s">
        <v>356</v>
      </c>
      <c r="C51" s="1794"/>
      <c r="D51" s="1794"/>
      <c r="E51" s="1794">
        <f t="shared" ref="E51:G51" si="10">SUM(E11)</f>
        <v>454000</v>
      </c>
      <c r="F51" s="1794">
        <f t="shared" si="10"/>
        <v>1680000</v>
      </c>
      <c r="G51" s="2331">
        <f t="shared" si="10"/>
        <v>2134000</v>
      </c>
      <c r="H51" s="2308"/>
    </row>
    <row r="52" spans="1:8" s="803" customFormat="1" ht="0.15" customHeight="1" x14ac:dyDescent="0.25">
      <c r="A52" s="1118"/>
      <c r="B52" s="760" t="s">
        <v>357</v>
      </c>
      <c r="C52" s="2311"/>
      <c r="D52" s="2311"/>
      <c r="E52" s="2311"/>
      <c r="F52" s="2311">
        <v>2113</v>
      </c>
      <c r="G52" s="2312">
        <f>SUM(C52:F52)</f>
        <v>2113</v>
      </c>
      <c r="H52" s="2308"/>
    </row>
    <row r="53" spans="1:8" s="803" customFormat="1" ht="0.15" customHeight="1" x14ac:dyDescent="0.25">
      <c r="A53" s="1117"/>
      <c r="B53" s="815" t="s">
        <v>355</v>
      </c>
      <c r="C53" s="1312"/>
      <c r="D53" s="1312"/>
      <c r="E53" s="1312"/>
      <c r="F53" s="1312"/>
      <c r="G53" s="2330"/>
      <c r="H53" s="2308"/>
    </row>
    <row r="54" spans="1:8" ht="12.6" customHeight="1" x14ac:dyDescent="0.25">
      <c r="A54" s="425" t="s">
        <v>239</v>
      </c>
      <c r="B54" s="400" t="s">
        <v>3</v>
      </c>
      <c r="C54" s="1292"/>
      <c r="D54" s="1292"/>
      <c r="E54" s="1292"/>
      <c r="F54" s="1292"/>
      <c r="G54" s="2329"/>
      <c r="H54" s="1402"/>
    </row>
    <row r="55" spans="1:8" ht="12.6" customHeight="1" thickBot="1" x14ac:dyDescent="0.3">
      <c r="A55" s="311"/>
      <c r="B55" s="146" t="s">
        <v>356</v>
      </c>
      <c r="C55" s="1292">
        <f t="shared" ref="C55:E57" si="11">C15</f>
        <v>8799000</v>
      </c>
      <c r="D55" s="1292">
        <f t="shared" si="11"/>
        <v>1916000</v>
      </c>
      <c r="E55" s="1292">
        <f>SUM(E15)</f>
        <v>627000</v>
      </c>
      <c r="F55" s="1292">
        <f>SUM(F15)</f>
        <v>0</v>
      </c>
      <c r="G55" s="2329">
        <f t="shared" si="8"/>
        <v>11342000</v>
      </c>
      <c r="H55" s="1402"/>
    </row>
    <row r="56" spans="1:8" ht="0.15" customHeight="1" x14ac:dyDescent="0.25">
      <c r="A56" s="443"/>
      <c r="B56" s="146" t="s">
        <v>357</v>
      </c>
      <c r="C56" s="1292">
        <f t="shared" si="11"/>
        <v>8799000</v>
      </c>
      <c r="D56" s="1292">
        <f t="shared" si="11"/>
        <v>1916000</v>
      </c>
      <c r="E56" s="1292">
        <f t="shared" si="11"/>
        <v>627000</v>
      </c>
      <c r="F56" s="1292">
        <f>SUM(F16)</f>
        <v>-1680</v>
      </c>
      <c r="G56" s="2314">
        <f t="shared" si="8"/>
        <v>11340320</v>
      </c>
      <c r="H56" s="1402"/>
    </row>
    <row r="57" spans="1:8" s="803" customFormat="1" ht="0.15" customHeight="1" thickBot="1" x14ac:dyDescent="0.3">
      <c r="A57" s="887"/>
      <c r="B57" s="886" t="s">
        <v>355</v>
      </c>
      <c r="C57" s="1312">
        <f t="shared" si="11"/>
        <v>4799</v>
      </c>
      <c r="D57" s="1312">
        <f t="shared" si="11"/>
        <v>1220</v>
      </c>
      <c r="E57" s="1312">
        <f t="shared" si="11"/>
        <v>349</v>
      </c>
      <c r="F57" s="1312">
        <f>SUM(F17)</f>
        <v>637</v>
      </c>
      <c r="G57" s="1921">
        <f t="shared" ref="G57" si="12">SUM(C57:F57)</f>
        <v>7005</v>
      </c>
      <c r="H57" s="2308"/>
    </row>
    <row r="58" spans="1:8" ht="12.6" customHeight="1" x14ac:dyDescent="0.25">
      <c r="A58" s="2634" t="s">
        <v>94</v>
      </c>
      <c r="B58" s="2635"/>
      <c r="C58" s="1363"/>
      <c r="D58" s="1363"/>
      <c r="E58" s="1363"/>
      <c r="F58" s="1363"/>
      <c r="G58" s="2316"/>
      <c r="H58" s="1402"/>
    </row>
    <row r="59" spans="1:8" ht="12.6" customHeight="1" x14ac:dyDescent="0.25">
      <c r="A59" s="594"/>
      <c r="B59" s="595" t="s">
        <v>356</v>
      </c>
      <c r="C59" s="1365">
        <f>C47+C55+C51</f>
        <v>28137000</v>
      </c>
      <c r="D59" s="1365">
        <f t="shared" ref="D59:G59" si="13">D47+D55+D51</f>
        <v>7220000</v>
      </c>
      <c r="E59" s="1365">
        <f t="shared" si="13"/>
        <v>27860000</v>
      </c>
      <c r="F59" s="1365">
        <f t="shared" si="13"/>
        <v>3790000</v>
      </c>
      <c r="G59" s="1365">
        <f t="shared" si="13"/>
        <v>67007000</v>
      </c>
      <c r="H59" s="1402"/>
    </row>
    <row r="60" spans="1:8" ht="0.15" customHeight="1" x14ac:dyDescent="0.25">
      <c r="A60" s="440"/>
      <c r="B60" s="441" t="s">
        <v>357</v>
      </c>
      <c r="C60" s="431">
        <f>C48+C56+C52</f>
        <v>28137021</v>
      </c>
      <c r="D60" s="431">
        <f t="shared" ref="D60:G60" si="14">D48+D56+D52</f>
        <v>7220005</v>
      </c>
      <c r="E60" s="431">
        <f t="shared" si="14"/>
        <v>27406000</v>
      </c>
      <c r="F60" s="431">
        <f t="shared" si="14"/>
        <v>2110433</v>
      </c>
      <c r="G60" s="431">
        <f t="shared" si="14"/>
        <v>64873459</v>
      </c>
    </row>
    <row r="61" spans="1:8" s="803" customFormat="1" ht="0.15" customHeight="1" x14ac:dyDescent="0.25">
      <c r="A61" s="888"/>
      <c r="B61" s="819" t="s">
        <v>355</v>
      </c>
      <c r="C61" s="853">
        <f>C49+C57</f>
        <v>15711</v>
      </c>
      <c r="D61" s="853">
        <f>D49+D57</f>
        <v>4745</v>
      </c>
      <c r="E61" s="853">
        <f>E49+E57</f>
        <v>13738</v>
      </c>
      <c r="F61" s="853">
        <f>F49+F57</f>
        <v>2187</v>
      </c>
      <c r="G61" s="855">
        <f>G49+G57</f>
        <v>36381</v>
      </c>
    </row>
    <row r="62" spans="1:8" s="803" customFormat="1" ht="12.6" customHeight="1" thickBot="1" x14ac:dyDescent="0.3">
      <c r="A62" s="889"/>
      <c r="B62" s="817" t="s">
        <v>427</v>
      </c>
      <c r="C62" s="859">
        <f>SUM(C61)/C60</f>
        <v>5.5837467655157945E-4</v>
      </c>
      <c r="D62" s="859">
        <f t="shared" ref="D62:G62" si="15">SUM(D61)/D60</f>
        <v>6.5720176094060875E-4</v>
      </c>
      <c r="E62" s="859">
        <f t="shared" si="15"/>
        <v>5.0127709260745822E-4</v>
      </c>
      <c r="F62" s="859">
        <f t="shared" si="15"/>
        <v>1.0362802325399574E-3</v>
      </c>
      <c r="G62" s="884">
        <f t="shared" si="15"/>
        <v>5.6079944804546342E-4</v>
      </c>
    </row>
    <row r="63" spans="1:8" ht="12.6" customHeight="1" thickBot="1" x14ac:dyDescent="0.3">
      <c r="A63" s="316"/>
      <c r="B63" s="59"/>
      <c r="C63" s="252"/>
      <c r="D63" s="252"/>
      <c r="E63" s="252"/>
      <c r="F63" s="252"/>
      <c r="G63" s="253"/>
    </row>
    <row r="64" spans="1:8" ht="25.2" x14ac:dyDescent="0.25">
      <c r="A64" s="896" t="s">
        <v>229</v>
      </c>
      <c r="B64" s="191" t="s">
        <v>238</v>
      </c>
      <c r="C64" s="880" t="s">
        <v>95</v>
      </c>
      <c r="D64" s="880" t="s">
        <v>302</v>
      </c>
      <c r="E64" s="880" t="s">
        <v>428</v>
      </c>
      <c r="F64" s="897"/>
      <c r="G64" s="898"/>
    </row>
    <row r="65" spans="1:9" ht="12.6" customHeight="1" x14ac:dyDescent="0.25">
      <c r="A65" s="2616" t="s">
        <v>176</v>
      </c>
      <c r="B65" s="2617"/>
      <c r="C65" s="264"/>
      <c r="D65" s="264"/>
      <c r="E65" s="264"/>
      <c r="F65" s="264"/>
      <c r="G65" s="265"/>
    </row>
    <row r="66" spans="1:9" ht="12.6" customHeight="1" x14ac:dyDescent="0.25">
      <c r="A66" s="399" t="s">
        <v>284</v>
      </c>
      <c r="B66" s="1099" t="s">
        <v>290</v>
      </c>
      <c r="C66" s="2126"/>
      <c r="D66" s="1314"/>
      <c r="E66" s="1314"/>
      <c r="F66" s="1314"/>
      <c r="G66" s="1378"/>
      <c r="H66" s="1402"/>
      <c r="I66" s="1402"/>
    </row>
    <row r="67" spans="1:9" ht="12.6" customHeight="1" thickBot="1" x14ac:dyDescent="0.3">
      <c r="A67" s="1174"/>
      <c r="B67" s="381" t="s">
        <v>356</v>
      </c>
      <c r="C67" s="2128"/>
      <c r="D67" s="1357">
        <f>D26</f>
        <v>58852000</v>
      </c>
      <c r="E67" s="1357"/>
      <c r="F67" s="1357"/>
      <c r="G67" s="1367">
        <f>SUM(D67:F67)</f>
        <v>58852000</v>
      </c>
      <c r="H67" s="1402"/>
      <c r="I67" s="1402"/>
    </row>
    <row r="68" spans="1:9" ht="0.15" customHeight="1" x14ac:dyDescent="0.25">
      <c r="A68" s="1225"/>
      <c r="B68" s="760" t="s">
        <v>357</v>
      </c>
      <c r="C68" s="2332"/>
      <c r="D68" s="1339">
        <f>D27</f>
        <v>58018459</v>
      </c>
      <c r="E68" s="1339"/>
      <c r="F68" s="1339"/>
      <c r="G68" s="1356">
        <f>SUM(D68:F68)</f>
        <v>58018459</v>
      </c>
      <c r="H68" s="1402"/>
      <c r="I68" s="1402"/>
    </row>
    <row r="69" spans="1:9" s="803" customFormat="1" ht="0.15" customHeight="1" x14ac:dyDescent="0.25">
      <c r="A69" s="1116"/>
      <c r="B69" s="815" t="s">
        <v>355</v>
      </c>
      <c r="C69" s="2333"/>
      <c r="D69" s="2322">
        <f>D28</f>
        <v>31196</v>
      </c>
      <c r="E69" s="2322"/>
      <c r="F69" s="2322"/>
      <c r="G69" s="2334">
        <f>SUM(D69:F69)</f>
        <v>31196</v>
      </c>
      <c r="H69" s="2308"/>
      <c r="I69" s="2308"/>
    </row>
    <row r="70" spans="1:9" ht="12.6" customHeight="1" x14ac:dyDescent="0.25">
      <c r="A70" s="425" t="s">
        <v>240</v>
      </c>
      <c r="B70" s="400" t="s">
        <v>98</v>
      </c>
      <c r="C70" s="1292"/>
      <c r="D70" s="1292"/>
      <c r="E70" s="1292"/>
      <c r="F70" s="1292"/>
      <c r="G70" s="1378"/>
      <c r="H70" s="1402"/>
      <c r="I70" s="1402"/>
    </row>
    <row r="71" spans="1:9" ht="12.6" customHeight="1" thickBot="1" x14ac:dyDescent="0.3">
      <c r="A71" s="323"/>
      <c r="B71" s="381" t="s">
        <v>356</v>
      </c>
      <c r="C71" s="1315">
        <f>C30</f>
        <v>6650000</v>
      </c>
      <c r="D71" s="1315">
        <f t="shared" ref="D71:F71" si="16">D30</f>
        <v>0</v>
      </c>
      <c r="E71" s="1315">
        <f t="shared" si="16"/>
        <v>1300000</v>
      </c>
      <c r="F71" s="1315">
        <f t="shared" si="16"/>
        <v>0</v>
      </c>
      <c r="G71" s="1367">
        <f>SUM(C71:F71)</f>
        <v>7950000</v>
      </c>
      <c r="H71" s="1402"/>
      <c r="I71" s="1402"/>
    </row>
    <row r="72" spans="1:9" ht="0.15" customHeight="1" x14ac:dyDescent="0.25">
      <c r="A72" s="315"/>
      <c r="B72" s="760" t="s">
        <v>357</v>
      </c>
      <c r="C72" s="1278">
        <f>C31</f>
        <v>6650000</v>
      </c>
      <c r="D72" s="1278"/>
      <c r="E72" s="1278"/>
      <c r="F72" s="1278"/>
      <c r="G72" s="1356">
        <f>SUM(C72:F72)</f>
        <v>6650000</v>
      </c>
      <c r="H72" s="1402"/>
      <c r="I72" s="1402"/>
    </row>
    <row r="73" spans="1:9" s="803" customFormat="1" ht="0.15" customHeight="1" x14ac:dyDescent="0.25">
      <c r="A73" s="1117"/>
      <c r="B73" s="815" t="s">
        <v>355</v>
      </c>
      <c r="C73" s="1312">
        <f>C32</f>
        <v>3744</v>
      </c>
      <c r="D73" s="1312"/>
      <c r="E73" s="1312">
        <f>SUM(E32)</f>
        <v>1612</v>
      </c>
      <c r="F73" s="1312"/>
      <c r="G73" s="2334">
        <f>SUM(C73:F73)</f>
        <v>5356</v>
      </c>
      <c r="H73" s="2308"/>
      <c r="I73" s="2308"/>
    </row>
    <row r="74" spans="1:9" ht="12.6" customHeight="1" x14ac:dyDescent="0.25">
      <c r="A74" s="425" t="s">
        <v>239</v>
      </c>
      <c r="B74" s="400" t="s">
        <v>3</v>
      </c>
      <c r="C74" s="1292"/>
      <c r="D74" s="1292"/>
      <c r="E74" s="1292"/>
      <c r="F74" s="1292"/>
      <c r="G74" s="1378"/>
      <c r="H74" s="1402"/>
      <c r="I74" s="1402"/>
    </row>
    <row r="75" spans="1:9" ht="12.6" customHeight="1" thickBot="1" x14ac:dyDescent="0.3">
      <c r="A75" s="311"/>
      <c r="B75" s="146" t="s">
        <v>356</v>
      </c>
      <c r="C75" s="1292">
        <f>C34</f>
        <v>205000</v>
      </c>
      <c r="D75" s="1292">
        <f t="shared" ref="D75:F75" si="17">D34</f>
        <v>0</v>
      </c>
      <c r="E75" s="1292">
        <f t="shared" si="17"/>
        <v>0</v>
      </c>
      <c r="F75" s="1292">
        <f t="shared" si="17"/>
        <v>0</v>
      </c>
      <c r="G75" s="1378">
        <f>SUM(C75:F75)</f>
        <v>205000</v>
      </c>
      <c r="H75" s="1402"/>
      <c r="I75" s="1402"/>
    </row>
    <row r="76" spans="1:9" ht="0.15" customHeight="1" x14ac:dyDescent="0.25">
      <c r="A76" s="443"/>
      <c r="B76" s="146" t="s">
        <v>357</v>
      </c>
      <c r="C76" s="1292">
        <f>C35</f>
        <v>205000</v>
      </c>
      <c r="D76" s="1292"/>
      <c r="E76" s="1292"/>
      <c r="F76" s="1292"/>
      <c r="G76" s="1359">
        <f>SUM(C76:F76)</f>
        <v>205000</v>
      </c>
      <c r="H76" s="1402"/>
      <c r="I76" s="1402"/>
    </row>
    <row r="77" spans="1:9" s="803" customFormat="1" ht="0.15" customHeight="1" thickBot="1" x14ac:dyDescent="0.3">
      <c r="A77" s="887"/>
      <c r="B77" s="886" t="s">
        <v>355</v>
      </c>
      <c r="C77" s="1312">
        <f>C36</f>
        <v>178</v>
      </c>
      <c r="D77" s="1312"/>
      <c r="E77" s="1312">
        <f>SUM(E36)</f>
        <v>5</v>
      </c>
      <c r="F77" s="1312"/>
      <c r="G77" s="2324">
        <f>SUM(C77:F77)</f>
        <v>183</v>
      </c>
      <c r="H77" s="2308"/>
      <c r="I77" s="2308"/>
    </row>
    <row r="78" spans="1:9" ht="12.6" customHeight="1" x14ac:dyDescent="0.25">
      <c r="A78" s="2634" t="s">
        <v>96</v>
      </c>
      <c r="B78" s="2635"/>
      <c r="C78" s="1363"/>
      <c r="D78" s="1363"/>
      <c r="E78" s="1363"/>
      <c r="F78" s="1363"/>
      <c r="G78" s="2335"/>
      <c r="H78" s="1402"/>
      <c r="I78" s="1402"/>
    </row>
    <row r="79" spans="1:9" ht="12.6" customHeight="1" x14ac:dyDescent="0.25">
      <c r="A79" s="890"/>
      <c r="B79" s="595" t="s">
        <v>356</v>
      </c>
      <c r="C79" s="1387">
        <f t="shared" ref="C79:G81" si="18">C67+C71+C75</f>
        <v>6855000</v>
      </c>
      <c r="D79" s="1387">
        <f t="shared" si="18"/>
        <v>58852000</v>
      </c>
      <c r="E79" s="1387">
        <f t="shared" si="18"/>
        <v>1300000</v>
      </c>
      <c r="F79" s="1387">
        <f t="shared" si="18"/>
        <v>0</v>
      </c>
      <c r="G79" s="1388">
        <f t="shared" si="18"/>
        <v>67007000</v>
      </c>
      <c r="H79" s="1402"/>
      <c r="I79" s="1402"/>
    </row>
    <row r="80" spans="1:9" ht="0.15" customHeight="1" x14ac:dyDescent="0.25">
      <c r="A80" s="442"/>
      <c r="B80" s="441" t="s">
        <v>357</v>
      </c>
      <c r="C80" s="1389">
        <f t="shared" si="18"/>
        <v>6855000</v>
      </c>
      <c r="D80" s="1389">
        <f t="shared" si="18"/>
        <v>58018459</v>
      </c>
      <c r="E80" s="1389">
        <f t="shared" si="18"/>
        <v>0</v>
      </c>
      <c r="F80" s="1389">
        <f t="shared" si="18"/>
        <v>0</v>
      </c>
      <c r="G80" s="1390">
        <f t="shared" si="18"/>
        <v>64873459</v>
      </c>
      <c r="H80" s="1402"/>
      <c r="I80" s="1402"/>
    </row>
    <row r="81" spans="1:9" s="803" customFormat="1" ht="0.15" customHeight="1" x14ac:dyDescent="0.25">
      <c r="A81" s="895"/>
      <c r="B81" s="819" t="s">
        <v>355</v>
      </c>
      <c r="C81" s="2336">
        <f t="shared" si="18"/>
        <v>3922</v>
      </c>
      <c r="D81" s="2336">
        <f t="shared" si="18"/>
        <v>31196</v>
      </c>
      <c r="E81" s="2336">
        <f t="shared" si="18"/>
        <v>1617</v>
      </c>
      <c r="F81" s="2336">
        <f t="shared" si="18"/>
        <v>0</v>
      </c>
      <c r="G81" s="2337">
        <f t="shared" si="18"/>
        <v>36735</v>
      </c>
      <c r="H81" s="2308"/>
      <c r="I81" s="2308"/>
    </row>
    <row r="82" spans="1:9" s="803" customFormat="1" ht="12.6" customHeight="1" thickBot="1" x14ac:dyDescent="0.3">
      <c r="A82" s="892"/>
      <c r="B82" s="817" t="s">
        <v>427</v>
      </c>
      <c r="C82" s="2338">
        <f>SUM(C81)/C80</f>
        <v>5.7213712618526624E-4</v>
      </c>
      <c r="D82" s="2338">
        <f t="shared" ref="D82:G82" si="19">SUM(D81)/D80</f>
        <v>5.3769094418726284E-4</v>
      </c>
      <c r="E82" s="2338"/>
      <c r="F82" s="2338"/>
      <c r="G82" s="2339">
        <f t="shared" si="19"/>
        <v>5.6625622506116101E-4</v>
      </c>
      <c r="H82" s="2308"/>
      <c r="I82" s="2308"/>
    </row>
    <row r="83" spans="1:9" ht="12.6" customHeight="1" x14ac:dyDescent="0.25">
      <c r="B83" s="52"/>
      <c r="C83" s="1402"/>
      <c r="D83" s="1402"/>
      <c r="E83" s="1402"/>
      <c r="F83" s="1402"/>
      <c r="G83" s="1402"/>
      <c r="H83" s="1402"/>
      <c r="I83" s="1402"/>
    </row>
    <row r="84" spans="1:9" x14ac:dyDescent="0.25">
      <c r="A84" s="318"/>
      <c r="B84" s="57"/>
      <c r="C84" s="57"/>
      <c r="D84" s="57"/>
      <c r="E84" s="57"/>
      <c r="F84" s="57"/>
    </row>
    <row r="85" spans="1:9" x14ac:dyDescent="0.25">
      <c r="B85" s="52"/>
      <c r="C85" s="52"/>
      <c r="D85" s="52"/>
      <c r="E85" s="52"/>
      <c r="F85" s="52"/>
    </row>
    <row r="86" spans="1:9" x14ac:dyDescent="0.25">
      <c r="B86" s="52"/>
      <c r="C86" s="52"/>
      <c r="D86" s="52"/>
      <c r="E86" s="52"/>
      <c r="F86" s="52"/>
    </row>
    <row r="87" spans="1:9" x14ac:dyDescent="0.25">
      <c r="A87" s="318"/>
      <c r="B87" s="58"/>
      <c r="C87" s="58"/>
      <c r="D87" s="58"/>
      <c r="E87" s="58"/>
      <c r="F87" s="58"/>
    </row>
  </sheetData>
  <mergeCells count="8">
    <mergeCell ref="A78:B78"/>
    <mergeCell ref="A1:G1"/>
    <mergeCell ref="A43:G43"/>
    <mergeCell ref="A45:B45"/>
    <mergeCell ref="A65:B65"/>
    <mergeCell ref="A18:B18"/>
    <mergeCell ref="A37:B37"/>
    <mergeCell ref="A58:B58"/>
  </mergeCells>
  <phoneticPr fontId="3" type="noConversion"/>
  <pageMargins left="0.7" right="0.7" top="0.75" bottom="0.75" header="0.3" footer="0.3"/>
  <pageSetup paperSize="9" scale="64" orientation="landscape" r:id="rId1"/>
  <headerFooter alignWithMargins="0">
    <oddHeader>&amp;A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2"/>
  <sheetViews>
    <sheetView topLeftCell="B1" workbookViewId="0">
      <selection activeCell="C1" sqref="C1:K13"/>
    </sheetView>
  </sheetViews>
  <sheetFormatPr defaultRowHeight="12.6" x14ac:dyDescent="0.25"/>
  <cols>
    <col min="1" max="1" width="0.88671875" style="3" hidden="1" customWidth="1"/>
    <col min="2" max="2" width="0.88671875" style="4" customWidth="1"/>
    <col min="3" max="3" width="20.6640625" style="4" customWidth="1"/>
    <col min="4" max="4" width="29.33203125" customWidth="1"/>
    <col min="5" max="6" width="0.109375" customWidth="1"/>
    <col min="7" max="7" width="38.33203125" style="1" hidden="1" customWidth="1"/>
    <col min="8" max="8" width="42.33203125" style="1" customWidth="1"/>
    <col min="9" max="9" width="22.6640625" customWidth="1"/>
    <col min="10" max="11" width="0.109375" customWidth="1"/>
    <col min="12" max="12" width="8.88671875" style="1" customWidth="1"/>
  </cols>
  <sheetData>
    <row r="1" spans="1:12" ht="18.600000000000001" thickBot="1" x14ac:dyDescent="0.4">
      <c r="A1" s="27" t="s">
        <v>22</v>
      </c>
      <c r="B1" s="27"/>
      <c r="C1" s="2550" t="s">
        <v>574</v>
      </c>
      <c r="D1" s="2551"/>
      <c r="E1" s="2551"/>
      <c r="F1" s="2551"/>
      <c r="G1" s="2551"/>
      <c r="H1" s="2551"/>
      <c r="I1" s="2551"/>
      <c r="J1" s="2551"/>
      <c r="K1" s="2552"/>
      <c r="L1" s="91"/>
    </row>
    <row r="2" spans="1:12" ht="18.600000000000001" thickBot="1" x14ac:dyDescent="0.4">
      <c r="A2" s="27"/>
      <c r="B2" s="27"/>
      <c r="C2" s="166"/>
      <c r="D2" s="96"/>
      <c r="E2" s="96"/>
      <c r="F2" s="97"/>
      <c r="G2" s="96"/>
      <c r="H2" s="109"/>
      <c r="I2" s="98"/>
      <c r="J2" s="98"/>
      <c r="K2" s="167"/>
      <c r="L2" s="91"/>
    </row>
    <row r="3" spans="1:12" ht="16.2" thickBot="1" x14ac:dyDescent="0.35">
      <c r="A3" s="4"/>
      <c r="C3" s="99"/>
      <c r="D3" s="490" t="s">
        <v>5</v>
      </c>
      <c r="E3" s="490"/>
      <c r="F3" s="100"/>
      <c r="G3" s="93"/>
      <c r="H3" s="93"/>
      <c r="I3" s="490" t="s">
        <v>108</v>
      </c>
      <c r="J3" s="490"/>
      <c r="K3" s="100"/>
      <c r="L3" s="91"/>
    </row>
    <row r="4" spans="1:12" ht="3" customHeight="1" thickBot="1" x14ac:dyDescent="0.35">
      <c r="A4" s="4"/>
      <c r="C4" s="103"/>
      <c r="D4" s="104"/>
      <c r="E4" s="104"/>
      <c r="F4" s="105"/>
      <c r="G4" s="106"/>
      <c r="H4" s="108"/>
      <c r="I4" s="104"/>
      <c r="J4" s="395"/>
      <c r="K4" s="60"/>
      <c r="L4" s="91"/>
    </row>
    <row r="5" spans="1:12" ht="14.4" x14ac:dyDescent="0.3">
      <c r="A5" s="4"/>
      <c r="C5" s="103"/>
      <c r="D5" s="544" t="s">
        <v>367</v>
      </c>
      <c r="E5" s="544"/>
      <c r="F5" s="545"/>
      <c r="G5" s="217"/>
      <c r="H5" s="546"/>
      <c r="I5" s="544" t="s">
        <v>367</v>
      </c>
      <c r="J5" s="544"/>
      <c r="K5" s="545"/>
      <c r="L5" s="91"/>
    </row>
    <row r="6" spans="1:12" ht="15" customHeight="1" x14ac:dyDescent="0.3">
      <c r="A6" s="4"/>
      <c r="C6" s="165"/>
      <c r="D6" s="224"/>
      <c r="E6" s="224"/>
      <c r="F6" s="392"/>
      <c r="G6" s="217"/>
      <c r="H6" s="165" t="s">
        <v>406</v>
      </c>
      <c r="I6" s="1397">
        <v>1680000</v>
      </c>
      <c r="J6" s="223">
        <f>SUM(I6)+433</f>
        <v>1680433</v>
      </c>
      <c r="K6" s="392">
        <v>637</v>
      </c>
      <c r="L6" s="91"/>
    </row>
    <row r="7" spans="1:12" ht="15" customHeight="1" x14ac:dyDescent="0.3">
      <c r="A7" s="4"/>
      <c r="C7" s="165"/>
      <c r="D7" s="224"/>
      <c r="E7" s="224"/>
      <c r="F7" s="392"/>
      <c r="G7" s="217"/>
      <c r="H7" s="547" t="s">
        <v>490</v>
      </c>
      <c r="I7" s="2340">
        <v>500000</v>
      </c>
      <c r="J7" s="223">
        <f t="shared" ref="J7:J10" si="0">SUM(I7)</f>
        <v>500000</v>
      </c>
      <c r="K7" s="392">
        <v>64</v>
      </c>
      <c r="L7" s="91"/>
    </row>
    <row r="8" spans="1:12" ht="15" customHeight="1" x14ac:dyDescent="0.3">
      <c r="A8" s="4"/>
      <c r="C8" s="165"/>
      <c r="D8" s="224"/>
      <c r="E8" s="224"/>
      <c r="F8" s="392"/>
      <c r="G8" s="217"/>
      <c r="H8" s="165" t="s">
        <v>638</v>
      </c>
      <c r="I8" s="2340">
        <v>1000000</v>
      </c>
      <c r="J8" s="223"/>
      <c r="K8" s="392"/>
      <c r="L8" s="91"/>
    </row>
    <row r="9" spans="1:12" ht="15" customHeight="1" x14ac:dyDescent="0.3">
      <c r="A9" s="4"/>
      <c r="C9" s="165"/>
      <c r="D9" s="223"/>
      <c r="E9" s="223"/>
      <c r="F9" s="393"/>
      <c r="G9" s="217"/>
      <c r="H9" s="502" t="s">
        <v>534</v>
      </c>
      <c r="I9" s="1909">
        <v>150000</v>
      </c>
      <c r="J9" s="223">
        <f t="shared" si="0"/>
        <v>150000</v>
      </c>
      <c r="K9" s="392">
        <v>13</v>
      </c>
      <c r="L9" s="91"/>
    </row>
    <row r="10" spans="1:12" ht="15" customHeight="1" thickBot="1" x14ac:dyDescent="0.35">
      <c r="A10" s="4"/>
      <c r="B10" s="273"/>
      <c r="C10" s="528"/>
      <c r="D10" s="223"/>
      <c r="E10" s="223"/>
      <c r="F10" s="393"/>
      <c r="G10" s="217"/>
      <c r="H10" s="502" t="s">
        <v>630</v>
      </c>
      <c r="I10" s="1909">
        <v>300000</v>
      </c>
      <c r="J10" s="550">
        <f t="shared" si="0"/>
        <v>300000</v>
      </c>
      <c r="K10" s="219"/>
      <c r="L10" s="91"/>
    </row>
    <row r="11" spans="1:12" ht="15" customHeight="1" thickBot="1" x14ac:dyDescent="0.35">
      <c r="A11" s="4"/>
      <c r="B11" s="273"/>
      <c r="C11" s="549"/>
      <c r="D11" s="550"/>
      <c r="E11" s="550"/>
      <c r="F11" s="1133"/>
      <c r="G11" s="1096"/>
      <c r="H11" s="548" t="s">
        <v>631</v>
      </c>
      <c r="I11" s="1918">
        <v>160000</v>
      </c>
      <c r="J11" s="550"/>
      <c r="K11" s="219"/>
      <c r="L11" s="91"/>
    </row>
    <row r="12" spans="1:12" ht="15" customHeight="1" thickBot="1" x14ac:dyDescent="0.35">
      <c r="A12"/>
      <c r="B12" s="367"/>
      <c r="C12" s="101" t="s">
        <v>53</v>
      </c>
      <c r="D12" s="394">
        <f>SUM(D6:D10)</f>
        <v>0</v>
      </c>
      <c r="E12" s="220">
        <f>SUM(E6:E10)</f>
        <v>0</v>
      </c>
      <c r="F12" s="607"/>
      <c r="G12" s="221"/>
      <c r="H12" s="492"/>
      <c r="I12" s="1919">
        <f>SUM(I6:I11)</f>
        <v>3790000</v>
      </c>
      <c r="J12" s="396">
        <f>SUM(J6:J10)</f>
        <v>2630433</v>
      </c>
      <c r="K12" s="215">
        <f>SUM(K6:K10)</f>
        <v>714</v>
      </c>
      <c r="L12" s="91"/>
    </row>
    <row r="13" spans="1:12" ht="15" customHeight="1" thickBot="1" x14ac:dyDescent="0.35">
      <c r="A13"/>
      <c r="B13"/>
      <c r="C13" s="221" t="s">
        <v>368</v>
      </c>
      <c r="D13" s="267"/>
      <c r="E13" s="221"/>
      <c r="F13" s="222"/>
      <c r="G13" s="222"/>
      <c r="H13" s="398"/>
      <c r="I13" s="1399">
        <f>SUM(I12+D12)</f>
        <v>3790000</v>
      </c>
      <c r="J13" s="494"/>
      <c r="K13" s="216">
        <f>SUM(D12+I12)</f>
        <v>3790000</v>
      </c>
      <c r="L13" s="91"/>
    </row>
    <row r="14" spans="1:12" ht="0.15" customHeight="1" thickBot="1" x14ac:dyDescent="0.35">
      <c r="A14"/>
      <c r="B14"/>
      <c r="C14" s="221" t="s">
        <v>369</v>
      </c>
      <c r="D14" s="267"/>
      <c r="E14" s="221"/>
      <c r="F14" s="222"/>
      <c r="G14" s="222"/>
      <c r="H14" s="398"/>
      <c r="I14" s="222"/>
      <c r="J14" s="494">
        <f>SUM(J12+E12)</f>
        <v>2630433</v>
      </c>
      <c r="K14" s="216">
        <f>SUM(E12+J12)</f>
        <v>2630433</v>
      </c>
      <c r="L14" s="91"/>
    </row>
    <row r="15" spans="1:12" s="930" customFormat="1" ht="0.15" customHeight="1" thickBot="1" x14ac:dyDescent="0.4">
      <c r="A15" s="922" t="s">
        <v>6</v>
      </c>
      <c r="B15" s="922"/>
      <c r="C15" s="923" t="s">
        <v>432</v>
      </c>
      <c r="D15" s="924"/>
      <c r="E15" s="923"/>
      <c r="F15" s="925"/>
      <c r="G15" s="925"/>
      <c r="H15" s="926"/>
      <c r="I15" s="925"/>
      <c r="J15" s="927"/>
      <c r="K15" s="928">
        <f>SUM(K12+F12)</f>
        <v>714</v>
      </c>
      <c r="L15" s="929"/>
    </row>
    <row r="16" spans="1:12" ht="15" customHeight="1" thickBot="1" x14ac:dyDescent="0.4">
      <c r="A16"/>
      <c r="B16"/>
      <c r="C16" s="20"/>
      <c r="D16" s="21"/>
      <c r="E16" s="21"/>
      <c r="F16" s="6"/>
      <c r="I16" s="1131"/>
      <c r="K16" s="1132">
        <f>SUM(K15/K14)</f>
        <v>2.7143820047878048E-4</v>
      </c>
    </row>
    <row r="17" spans="1:8" ht="15" customHeight="1" x14ac:dyDescent="0.25">
      <c r="C17"/>
      <c r="D17" s="1"/>
      <c r="E17" s="1"/>
      <c r="F17" s="17"/>
      <c r="G17"/>
      <c r="H17"/>
    </row>
    <row r="18" spans="1:8" ht="15" customHeight="1" x14ac:dyDescent="0.25">
      <c r="A18" s="5"/>
      <c r="B18" s="5"/>
    </row>
    <row r="19" spans="1:8" ht="15" customHeight="1" x14ac:dyDescent="0.25">
      <c r="A19" s="7"/>
      <c r="B19" s="7"/>
      <c r="C19" s="5"/>
    </row>
    <row r="20" spans="1:8" x14ac:dyDescent="0.25">
      <c r="A20" s="7"/>
      <c r="B20" s="7"/>
      <c r="C20" s="7"/>
    </row>
    <row r="21" spans="1:8" x14ac:dyDescent="0.25">
      <c r="A21" s="7"/>
      <c r="B21" s="7"/>
      <c r="C21" s="7"/>
    </row>
    <row r="22" spans="1:8" x14ac:dyDescent="0.25">
      <c r="A22" s="7"/>
      <c r="B22" s="7"/>
      <c r="C22" s="7"/>
    </row>
    <row r="23" spans="1:8" x14ac:dyDescent="0.25">
      <c r="A23" s="7"/>
      <c r="B23" s="7"/>
      <c r="C23" s="7"/>
    </row>
    <row r="24" spans="1:8" x14ac:dyDescent="0.25">
      <c r="A24" s="7"/>
      <c r="B24" s="7"/>
      <c r="C24" s="7"/>
    </row>
    <row r="25" spans="1:8" x14ac:dyDescent="0.25">
      <c r="A25" s="7"/>
      <c r="B25" s="7"/>
      <c r="C25" s="7"/>
    </row>
    <row r="26" spans="1:8" x14ac:dyDescent="0.25">
      <c r="A26" s="7"/>
      <c r="B26" s="7"/>
      <c r="C26" s="7"/>
    </row>
    <row r="27" spans="1:8" x14ac:dyDescent="0.25">
      <c r="A27" s="7"/>
      <c r="B27" s="7"/>
      <c r="C27" s="7"/>
    </row>
    <row r="28" spans="1:8" x14ac:dyDescent="0.25">
      <c r="A28" s="7"/>
      <c r="B28" s="7"/>
      <c r="C28" s="7"/>
    </row>
    <row r="29" spans="1:8" x14ac:dyDescent="0.25">
      <c r="A29" s="7"/>
      <c r="B29" s="7"/>
      <c r="C29" s="7"/>
    </row>
    <row r="30" spans="1:8" x14ac:dyDescent="0.25">
      <c r="A30" s="7"/>
      <c r="B30" s="7"/>
      <c r="C30" s="7"/>
    </row>
    <row r="31" spans="1:8" x14ac:dyDescent="0.25">
      <c r="A31" s="7"/>
      <c r="B31" s="7"/>
      <c r="C31" s="7"/>
    </row>
    <row r="32" spans="1:8" x14ac:dyDescent="0.25">
      <c r="A32" s="7"/>
      <c r="B32" s="7"/>
      <c r="C32" s="7"/>
    </row>
    <row r="33" spans="1:12" x14ac:dyDescent="0.25">
      <c r="A33" s="7"/>
      <c r="B33" s="7"/>
      <c r="C33" s="7"/>
    </row>
    <row r="34" spans="1:12" x14ac:dyDescent="0.25">
      <c r="A34" s="7"/>
      <c r="B34" s="7"/>
      <c r="C34" s="7"/>
    </row>
    <row r="35" spans="1:12" x14ac:dyDescent="0.25">
      <c r="A35" s="7"/>
      <c r="B35" s="7"/>
      <c r="C35" s="7"/>
    </row>
    <row r="36" spans="1:12" x14ac:dyDescent="0.25">
      <c r="A36" s="7"/>
      <c r="B36" s="7"/>
      <c r="C36" s="7"/>
    </row>
    <row r="37" spans="1:12" x14ac:dyDescent="0.25">
      <c r="A37" s="6"/>
      <c r="B37" s="6"/>
      <c r="C37" s="7"/>
    </row>
    <row r="38" spans="1:12" x14ac:dyDescent="0.25">
      <c r="A38" s="1"/>
      <c r="B38" s="1"/>
      <c r="C38" s="6"/>
    </row>
    <row r="39" spans="1:12" x14ac:dyDescent="0.25">
      <c r="A39" s="18"/>
      <c r="B39" s="18"/>
      <c r="C39" s="1"/>
    </row>
    <row r="40" spans="1:12" x14ac:dyDescent="0.25">
      <c r="A40" s="18"/>
      <c r="B40" s="18"/>
      <c r="C40" s="18"/>
    </row>
    <row r="41" spans="1:12" x14ac:dyDescent="0.25">
      <c r="A41" s="18"/>
      <c r="B41" s="18"/>
      <c r="C41" s="18"/>
    </row>
    <row r="42" spans="1:12" s="2" customFormat="1" ht="15.6" x14ac:dyDescent="0.35">
      <c r="A42" s="19"/>
      <c r="B42" s="19"/>
      <c r="C42" s="18"/>
      <c r="D42"/>
      <c r="E42"/>
      <c r="F42"/>
      <c r="G42" s="1"/>
      <c r="H42" s="1"/>
      <c r="I42"/>
      <c r="J42"/>
      <c r="K42"/>
      <c r="L42" s="1"/>
    </row>
    <row r="43" spans="1:12" ht="15.6" x14ac:dyDescent="0.35">
      <c r="A43" s="18"/>
      <c r="B43" s="18"/>
      <c r="C43" s="19"/>
    </row>
    <row r="44" spans="1:12" x14ac:dyDescent="0.25">
      <c r="A44"/>
      <c r="B44"/>
      <c r="C44" s="18"/>
    </row>
    <row r="45" spans="1:12" x14ac:dyDescent="0.25">
      <c r="A45"/>
      <c r="B45"/>
      <c r="C45"/>
    </row>
    <row r="46" spans="1:12" x14ac:dyDescent="0.25">
      <c r="A46"/>
      <c r="B46"/>
      <c r="C46"/>
    </row>
    <row r="47" spans="1:12" x14ac:dyDescent="0.25">
      <c r="A47"/>
      <c r="B47"/>
      <c r="C47"/>
    </row>
    <row r="48" spans="1:12" x14ac:dyDescent="0.25">
      <c r="A48"/>
      <c r="B48"/>
      <c r="C48"/>
    </row>
    <row r="49" spans="1:12" x14ac:dyDescent="0.25">
      <c r="A49" s="18"/>
      <c r="B49" s="18"/>
      <c r="C49"/>
    </row>
    <row r="50" spans="1:12" x14ac:dyDescent="0.25">
      <c r="A50" s="18"/>
      <c r="B50" s="18"/>
      <c r="C50" s="18"/>
    </row>
    <row r="51" spans="1:12" ht="15.6" x14ac:dyDescent="0.35">
      <c r="A51" s="18"/>
      <c r="B51" s="18"/>
      <c r="C51" s="18"/>
      <c r="L51" s="2"/>
    </row>
    <row r="52" spans="1:12" x14ac:dyDescent="0.25">
      <c r="A52" s="18"/>
      <c r="B52" s="18"/>
      <c r="C52" s="18"/>
    </row>
    <row r="53" spans="1:12" x14ac:dyDescent="0.25">
      <c r="A53" s="18"/>
      <c r="B53" s="18"/>
      <c r="C53" s="18"/>
    </row>
    <row r="54" spans="1:12" x14ac:dyDescent="0.25">
      <c r="A54" s="4"/>
      <c r="C54" s="18"/>
    </row>
    <row r="55" spans="1:12" x14ac:dyDescent="0.25">
      <c r="A55" s="4"/>
    </row>
    <row r="56" spans="1:12" x14ac:dyDescent="0.25">
      <c r="A56" s="4"/>
    </row>
    <row r="57" spans="1:12" x14ac:dyDescent="0.25">
      <c r="A57" s="24"/>
    </row>
    <row r="58" spans="1:12" x14ac:dyDescent="0.25">
      <c r="A58" s="24"/>
    </row>
    <row r="59" spans="1:12" x14ac:dyDescent="0.25">
      <c r="A59" s="24"/>
    </row>
    <row r="60" spans="1:12" x14ac:dyDescent="0.25">
      <c r="A60" s="24"/>
    </row>
    <row r="61" spans="1:12" x14ac:dyDescent="0.25">
      <c r="A61" s="24"/>
    </row>
    <row r="62" spans="1:12" x14ac:dyDescent="0.25">
      <c r="A62" s="24"/>
    </row>
    <row r="63" spans="1:12" x14ac:dyDescent="0.25">
      <c r="A63" s="24"/>
    </row>
    <row r="64" spans="1:12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  <row r="76" spans="1:1" x14ac:dyDescent="0.25">
      <c r="A76" s="24"/>
    </row>
    <row r="77" spans="1:1" x14ac:dyDescent="0.25">
      <c r="A77" s="24"/>
    </row>
    <row r="78" spans="1:1" x14ac:dyDescent="0.25">
      <c r="A78" s="24"/>
    </row>
    <row r="79" spans="1:1" x14ac:dyDescent="0.25">
      <c r="A79" s="24"/>
    </row>
    <row r="80" spans="1:1" x14ac:dyDescent="0.25">
      <c r="A80" s="24"/>
    </row>
    <row r="81" spans="1:1" x14ac:dyDescent="0.25">
      <c r="A81" s="24"/>
    </row>
    <row r="82" spans="1:1" x14ac:dyDescent="0.25">
      <c r="A82" s="24"/>
    </row>
    <row r="83" spans="1:1" x14ac:dyDescent="0.25">
      <c r="A83" s="24"/>
    </row>
    <row r="84" spans="1:1" x14ac:dyDescent="0.25">
      <c r="A84" s="24"/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4"/>
    </row>
    <row r="89" spans="1:1" x14ac:dyDescent="0.25">
      <c r="A89" s="24"/>
    </row>
    <row r="90" spans="1:1" x14ac:dyDescent="0.25">
      <c r="A90" s="23"/>
    </row>
    <row r="91" spans="1:1" x14ac:dyDescent="0.25">
      <c r="A91" s="23"/>
    </row>
    <row r="92" spans="1:1" x14ac:dyDescent="0.25">
      <c r="A92" s="23"/>
    </row>
  </sheetData>
  <mergeCells count="1">
    <mergeCell ref="C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0">
    <pageSetUpPr fitToPage="1"/>
  </sheetPr>
  <dimension ref="A1:I96"/>
  <sheetViews>
    <sheetView topLeftCell="A45" workbookViewId="0">
      <selection activeCell="A47" sqref="A47:G93"/>
    </sheetView>
  </sheetViews>
  <sheetFormatPr defaultRowHeight="12.6" x14ac:dyDescent="0.25"/>
  <cols>
    <col min="1" max="1" width="17.44140625" style="317" customWidth="1"/>
    <col min="2" max="2" width="28.6640625" customWidth="1"/>
    <col min="3" max="4" width="12.6640625" customWidth="1"/>
    <col min="5" max="5" width="16" customWidth="1"/>
    <col min="6" max="6" width="15.44140625" customWidth="1"/>
    <col min="7" max="7" width="22.6640625" customWidth="1"/>
    <col min="9" max="9" width="10.5546875" bestFit="1" customWidth="1"/>
  </cols>
  <sheetData>
    <row r="1" spans="1:7" ht="30.75" customHeight="1" thickBot="1" x14ac:dyDescent="0.4">
      <c r="A1" s="2553" t="s">
        <v>575</v>
      </c>
      <c r="B1" s="2584"/>
      <c r="C1" s="2584"/>
      <c r="D1" s="2584"/>
      <c r="E1" s="2584"/>
      <c r="F1" s="2584"/>
      <c r="G1" s="2613"/>
    </row>
    <row r="2" spans="1:7" ht="0.75" customHeight="1" x14ac:dyDescent="0.35">
      <c r="A2" s="313"/>
      <c r="B2" s="30"/>
      <c r="G2" s="60"/>
    </row>
    <row r="3" spans="1:7" ht="0.75" customHeight="1" x14ac:dyDescent="0.25">
      <c r="A3" s="314"/>
      <c r="G3" s="60"/>
    </row>
    <row r="4" spans="1:7" ht="0.75" customHeight="1" x14ac:dyDescent="0.25">
      <c r="A4" s="314"/>
      <c r="G4" s="60"/>
    </row>
    <row r="5" spans="1:7" ht="27.75" customHeight="1" x14ac:dyDescent="0.25">
      <c r="A5" s="319" t="s">
        <v>229</v>
      </c>
      <c r="B5" s="90" t="s">
        <v>238</v>
      </c>
      <c r="C5" s="75" t="s">
        <v>57</v>
      </c>
      <c r="D5" s="75" t="s">
        <v>90</v>
      </c>
      <c r="E5" s="75" t="s">
        <v>91</v>
      </c>
      <c r="F5" s="75" t="s">
        <v>379</v>
      </c>
      <c r="G5" s="121" t="s">
        <v>53</v>
      </c>
    </row>
    <row r="6" spans="1:7" ht="13.5" customHeight="1" x14ac:dyDescent="0.25">
      <c r="A6" s="399" t="s">
        <v>241</v>
      </c>
      <c r="B6" s="439" t="s">
        <v>242</v>
      </c>
      <c r="C6" s="1339"/>
      <c r="D6" s="1339"/>
      <c r="E6" s="1339"/>
      <c r="F6" s="1339"/>
      <c r="G6" s="1356"/>
    </row>
    <row r="7" spans="1:7" ht="12.9" customHeight="1" thickBot="1" x14ac:dyDescent="0.3">
      <c r="A7" s="1174"/>
      <c r="B7" s="1229" t="s">
        <v>356</v>
      </c>
      <c r="C7" s="1357"/>
      <c r="D7" s="1357"/>
      <c r="E7" s="1357"/>
      <c r="F7" s="1357"/>
      <c r="G7" s="1358">
        <f t="shared" ref="G7:G20" si="0">SUM(C7:F7)</f>
        <v>0</v>
      </c>
    </row>
    <row r="8" spans="1:7" ht="0.15" customHeight="1" x14ac:dyDescent="0.25">
      <c r="A8" s="1225"/>
      <c r="B8" s="1227" t="s">
        <v>357</v>
      </c>
      <c r="C8" s="1339">
        <f>SUM(C7)+112+56</f>
        <v>168</v>
      </c>
      <c r="D8" s="1339">
        <f>SUM(D7)+30+15</f>
        <v>45</v>
      </c>
      <c r="E8" s="1339">
        <f t="shared" ref="E8:F8" si="1">SUM(E7)</f>
        <v>0</v>
      </c>
      <c r="F8" s="1339">
        <f t="shared" si="1"/>
        <v>0</v>
      </c>
      <c r="G8" s="1359">
        <f t="shared" si="0"/>
        <v>213</v>
      </c>
    </row>
    <row r="9" spans="1:7" s="780" customFormat="1" ht="0.15" customHeight="1" thickBot="1" x14ac:dyDescent="0.3">
      <c r="A9" s="899"/>
      <c r="B9" s="900" t="s">
        <v>355</v>
      </c>
      <c r="C9" s="1360">
        <v>8285</v>
      </c>
      <c r="D9" s="1360">
        <v>1944</v>
      </c>
      <c r="E9" s="1360">
        <v>12265</v>
      </c>
      <c r="F9" s="1360">
        <v>652</v>
      </c>
      <c r="G9" s="1361">
        <f t="shared" ref="G9" si="2">SUM(C9:F9)</f>
        <v>23146</v>
      </c>
    </row>
    <row r="10" spans="1:7" ht="12.9" customHeight="1" x14ac:dyDescent="0.25">
      <c r="A10" s="402" t="s">
        <v>243</v>
      </c>
      <c r="B10" s="439" t="s">
        <v>244</v>
      </c>
      <c r="C10" s="1339"/>
      <c r="D10" s="1339"/>
      <c r="E10" s="1339"/>
      <c r="F10" s="1339"/>
      <c r="G10" s="1359"/>
    </row>
    <row r="11" spans="1:7" ht="12.9" customHeight="1" thickBot="1" x14ac:dyDescent="0.3">
      <c r="A11" s="1174"/>
      <c r="B11" s="1229" t="s">
        <v>356</v>
      </c>
      <c r="C11" s="1357">
        <v>1752000</v>
      </c>
      <c r="D11" s="1357">
        <v>250000</v>
      </c>
      <c r="E11" s="1357">
        <v>26000</v>
      </c>
      <c r="F11" s="1357"/>
      <c r="G11" s="1358">
        <f t="shared" si="0"/>
        <v>2028000</v>
      </c>
    </row>
    <row r="12" spans="1:7" ht="0.15" customHeight="1" x14ac:dyDescent="0.25">
      <c r="A12" s="1225"/>
      <c r="B12" s="1227" t="s">
        <v>357</v>
      </c>
      <c r="C12" s="1339">
        <f>SUM(C11)+7124</f>
        <v>1759124</v>
      </c>
      <c r="D12" s="1339">
        <f>SUM(D11)+962</f>
        <v>250962</v>
      </c>
      <c r="E12" s="1339"/>
      <c r="F12" s="1339"/>
      <c r="G12" s="1359">
        <f t="shared" si="0"/>
        <v>2010086</v>
      </c>
    </row>
    <row r="13" spans="1:7" s="780" customFormat="1" ht="0.15" customHeight="1" thickBot="1" x14ac:dyDescent="0.3">
      <c r="A13" s="899"/>
      <c r="B13" s="900" t="s">
        <v>355</v>
      </c>
      <c r="C13" s="1360">
        <v>7613</v>
      </c>
      <c r="D13" s="1360">
        <v>1015</v>
      </c>
      <c r="E13" s="1360"/>
      <c r="F13" s="1360"/>
      <c r="G13" s="1361">
        <f t="shared" ref="G13" si="3">SUM(C13:F13)</f>
        <v>8628</v>
      </c>
    </row>
    <row r="14" spans="1:7" ht="12.9" customHeight="1" x14ac:dyDescent="0.25">
      <c r="A14" s="402" t="s">
        <v>245</v>
      </c>
      <c r="B14" s="439" t="s">
        <v>246</v>
      </c>
      <c r="C14" s="1339"/>
      <c r="D14" s="1339"/>
      <c r="E14" s="1339"/>
      <c r="F14" s="1339"/>
      <c r="G14" s="1359"/>
    </row>
    <row r="15" spans="1:7" ht="12.9" customHeight="1" thickBot="1" x14ac:dyDescent="0.3">
      <c r="A15" s="1174"/>
      <c r="B15" s="1229" t="s">
        <v>356</v>
      </c>
      <c r="C15" s="1357"/>
      <c r="D15" s="1357"/>
      <c r="E15" s="1357">
        <v>1524000</v>
      </c>
      <c r="F15" s="1357"/>
      <c r="G15" s="1358">
        <f t="shared" si="0"/>
        <v>1524000</v>
      </c>
    </row>
    <row r="16" spans="1:7" ht="0.15" customHeight="1" x14ac:dyDescent="0.25">
      <c r="A16" s="1225"/>
      <c r="B16" s="1227" t="s">
        <v>357</v>
      </c>
      <c r="C16" s="1339"/>
      <c r="D16" s="1339"/>
      <c r="E16" s="1339">
        <f>SUM(E15)</f>
        <v>1524000</v>
      </c>
      <c r="F16" s="1339"/>
      <c r="G16" s="1359">
        <f t="shared" si="0"/>
        <v>1524000</v>
      </c>
    </row>
    <row r="17" spans="1:9" s="780" customFormat="1" ht="0.15" customHeight="1" thickBot="1" x14ac:dyDescent="0.3">
      <c r="A17" s="899"/>
      <c r="B17" s="900" t="s">
        <v>355</v>
      </c>
      <c r="C17" s="1360"/>
      <c r="D17" s="1360"/>
      <c r="E17" s="1360">
        <v>157</v>
      </c>
      <c r="F17" s="1360"/>
      <c r="G17" s="1361">
        <f t="shared" ref="G17" si="4">SUM(C17:F17)</f>
        <v>157</v>
      </c>
    </row>
    <row r="18" spans="1:9" ht="12.9" customHeight="1" x14ac:dyDescent="0.25">
      <c r="A18" s="411" t="s">
        <v>247</v>
      </c>
      <c r="B18" s="445" t="s">
        <v>55</v>
      </c>
      <c r="C18" s="1278"/>
      <c r="D18" s="1278"/>
      <c r="E18" s="1278"/>
      <c r="F18" s="1278"/>
      <c r="G18" s="1359"/>
    </row>
    <row r="19" spans="1:9" ht="12.9" customHeight="1" thickBot="1" x14ac:dyDescent="0.3">
      <c r="A19" s="423"/>
      <c r="B19" s="444" t="s">
        <v>356</v>
      </c>
      <c r="C19" s="1341">
        <v>39451000</v>
      </c>
      <c r="D19" s="1341">
        <v>8187000</v>
      </c>
      <c r="E19" s="1341">
        <f>13130000+150000</f>
        <v>13280000</v>
      </c>
      <c r="F19" s="1341">
        <f>'16.a.sz. melléklet'!I11</f>
        <v>1210000</v>
      </c>
      <c r="G19" s="1358">
        <f t="shared" si="0"/>
        <v>62128000</v>
      </c>
    </row>
    <row r="20" spans="1:9" ht="0.15" customHeight="1" x14ac:dyDescent="0.25">
      <c r="A20" s="443"/>
      <c r="B20" s="446" t="s">
        <v>357</v>
      </c>
      <c r="C20" s="1292">
        <f>SUM(C19)+61+29</f>
        <v>39451090</v>
      </c>
      <c r="D20" s="1292">
        <f>SUM(D19)+17+8</f>
        <v>8187025</v>
      </c>
      <c r="E20" s="1292">
        <f>SUM(E19)-800</f>
        <v>13279200</v>
      </c>
      <c r="F20" s="1292">
        <f>SUM(F19)+247</f>
        <v>1210247</v>
      </c>
      <c r="G20" s="1359">
        <f t="shared" si="0"/>
        <v>62127562</v>
      </c>
    </row>
    <row r="21" spans="1:9" s="780" customFormat="1" ht="0.15" customHeight="1" thickBot="1" x14ac:dyDescent="0.3">
      <c r="A21" s="901"/>
      <c r="B21" s="902" t="s">
        <v>355</v>
      </c>
      <c r="C21" s="1362">
        <v>19213</v>
      </c>
      <c r="D21" s="1362">
        <v>6104</v>
      </c>
      <c r="E21" s="1362">
        <v>8418</v>
      </c>
      <c r="F21" s="1362">
        <v>347</v>
      </c>
      <c r="G21" s="1361">
        <f t="shared" ref="G21" si="5">SUM(C21:F21)</f>
        <v>34082</v>
      </c>
    </row>
    <row r="22" spans="1:9" ht="12.9" customHeight="1" x14ac:dyDescent="0.25">
      <c r="A22" s="2636" t="s">
        <v>94</v>
      </c>
      <c r="B22" s="2637"/>
      <c r="C22" s="1363"/>
      <c r="D22" s="1363"/>
      <c r="E22" s="1363"/>
      <c r="F22" s="1363"/>
      <c r="G22" s="1364"/>
      <c r="I22" s="82"/>
    </row>
    <row r="23" spans="1:9" ht="12.9" customHeight="1" x14ac:dyDescent="0.25">
      <c r="A23" s="594"/>
      <c r="B23" s="598" t="s">
        <v>356</v>
      </c>
      <c r="C23" s="1365">
        <f t="shared" ref="C23:G25" si="6">C7+C11+C15+C19</f>
        <v>41203000</v>
      </c>
      <c r="D23" s="1365">
        <f t="shared" si="6"/>
        <v>8437000</v>
      </c>
      <c r="E23" s="1365">
        <f t="shared" si="6"/>
        <v>14830000</v>
      </c>
      <c r="F23" s="1365">
        <f t="shared" si="6"/>
        <v>1210000</v>
      </c>
      <c r="G23" s="1366">
        <f t="shared" si="6"/>
        <v>65680000</v>
      </c>
      <c r="I23" s="82"/>
    </row>
    <row r="24" spans="1:9" ht="0.15" customHeight="1" x14ac:dyDescent="0.25">
      <c r="A24" s="440"/>
      <c r="B24" s="447" t="s">
        <v>357</v>
      </c>
      <c r="C24" s="431">
        <f t="shared" si="6"/>
        <v>41210382</v>
      </c>
      <c r="D24" s="431">
        <f t="shared" si="6"/>
        <v>8438032</v>
      </c>
      <c r="E24" s="431">
        <f t="shared" si="6"/>
        <v>14803200</v>
      </c>
      <c r="F24" s="431">
        <f t="shared" si="6"/>
        <v>1210247</v>
      </c>
      <c r="G24" s="432">
        <f t="shared" si="6"/>
        <v>65661861</v>
      </c>
      <c r="I24" s="82"/>
    </row>
    <row r="25" spans="1:9" s="780" customFormat="1" ht="0.15" customHeight="1" x14ac:dyDescent="0.25">
      <c r="A25" s="903"/>
      <c r="B25" s="904" t="s">
        <v>355</v>
      </c>
      <c r="C25" s="905">
        <f t="shared" si="6"/>
        <v>35111</v>
      </c>
      <c r="D25" s="905">
        <f t="shared" si="6"/>
        <v>9063</v>
      </c>
      <c r="E25" s="905">
        <f t="shared" si="6"/>
        <v>20840</v>
      </c>
      <c r="F25" s="905">
        <f t="shared" si="6"/>
        <v>999</v>
      </c>
      <c r="G25" s="906">
        <f t="shared" si="6"/>
        <v>66013</v>
      </c>
      <c r="I25" s="907"/>
    </row>
    <row r="26" spans="1:9" s="780" customFormat="1" ht="12.6" customHeight="1" thickBot="1" x14ac:dyDescent="0.3">
      <c r="A26" s="910"/>
      <c r="B26" s="911" t="s">
        <v>427</v>
      </c>
      <c r="C26" s="912">
        <f>SUM(C25)/C24</f>
        <v>8.5199404363686801E-4</v>
      </c>
      <c r="D26" s="912">
        <f t="shared" ref="D26:G26" si="7">SUM(D25)/D24</f>
        <v>1.0740656115075175E-3</v>
      </c>
      <c r="E26" s="912">
        <f t="shared" si="7"/>
        <v>1.4078037181150021E-3</v>
      </c>
      <c r="F26" s="912">
        <f t="shared" si="7"/>
        <v>8.2545133348812269E-4</v>
      </c>
      <c r="G26" s="912">
        <f t="shared" si="7"/>
        <v>1.0053476857745474E-3</v>
      </c>
      <c r="I26" s="907"/>
    </row>
    <row r="27" spans="1:9" ht="12.6" customHeight="1" thickBot="1" x14ac:dyDescent="0.3">
      <c r="A27" s="316"/>
      <c r="B27" s="59"/>
      <c r="G27" s="60"/>
    </row>
    <row r="28" spans="1:9" ht="31.5" customHeight="1" x14ac:dyDescent="0.25">
      <c r="A28" s="896" t="s">
        <v>229</v>
      </c>
      <c r="B28" s="191" t="s">
        <v>238</v>
      </c>
      <c r="C28" s="192" t="s">
        <v>95</v>
      </c>
      <c r="D28" s="192" t="s">
        <v>430</v>
      </c>
      <c r="E28" s="192" t="s">
        <v>301</v>
      </c>
      <c r="F28" s="192"/>
      <c r="G28" s="193"/>
    </row>
    <row r="29" spans="1:9" ht="12.9" customHeight="1" x14ac:dyDescent="0.25">
      <c r="A29" s="399" t="s">
        <v>241</v>
      </c>
      <c r="B29" s="439" t="s">
        <v>242</v>
      </c>
      <c r="C29" s="1339"/>
      <c r="D29" s="1339"/>
      <c r="E29" s="1339"/>
      <c r="F29" s="1339"/>
      <c r="G29" s="1356"/>
    </row>
    <row r="30" spans="1:9" ht="12.9" customHeight="1" thickBot="1" x14ac:dyDescent="0.3">
      <c r="A30" s="1174"/>
      <c r="B30" s="1229" t="s">
        <v>356</v>
      </c>
      <c r="C30" s="1357"/>
      <c r="D30" s="1357"/>
      <c r="E30" s="1357"/>
      <c r="F30" s="1357"/>
      <c r="G30" s="1367">
        <f t="shared" ref="G30:G35" si="8">SUM(C30:F30)</f>
        <v>0</v>
      </c>
    </row>
    <row r="31" spans="1:9" ht="0.15" customHeight="1" x14ac:dyDescent="0.25">
      <c r="A31" s="1225"/>
      <c r="B31" s="1227" t="s">
        <v>357</v>
      </c>
      <c r="C31" s="1339">
        <f>SUM(C30)</f>
        <v>0</v>
      </c>
      <c r="D31" s="1339"/>
      <c r="E31" s="1339"/>
      <c r="F31" s="1339"/>
      <c r="G31" s="1356">
        <f t="shared" si="8"/>
        <v>0</v>
      </c>
    </row>
    <row r="32" spans="1:9" s="780" customFormat="1" ht="0.15" customHeight="1" thickBot="1" x14ac:dyDescent="0.3">
      <c r="A32" s="899"/>
      <c r="B32" s="900" t="s">
        <v>355</v>
      </c>
      <c r="C32" s="1360">
        <v>314</v>
      </c>
      <c r="D32" s="1360"/>
      <c r="E32" s="1360"/>
      <c r="F32" s="1360"/>
      <c r="G32" s="1368">
        <f t="shared" ref="G32" si="9">SUM(C32:F32)</f>
        <v>314</v>
      </c>
    </row>
    <row r="33" spans="1:9" ht="12.9" customHeight="1" x14ac:dyDescent="0.25">
      <c r="A33" s="402" t="s">
        <v>284</v>
      </c>
      <c r="B33" s="439" t="s">
        <v>286</v>
      </c>
      <c r="C33" s="1339"/>
      <c r="D33" s="1339"/>
      <c r="E33" s="1339"/>
      <c r="F33" s="1339"/>
      <c r="G33" s="1356"/>
    </row>
    <row r="34" spans="1:9" ht="12.9" customHeight="1" thickBot="1" x14ac:dyDescent="0.3">
      <c r="A34" s="1174"/>
      <c r="B34" s="1229" t="s">
        <v>356</v>
      </c>
      <c r="C34" s="1357"/>
      <c r="D34" s="1357">
        <f>G23-C30-C42-E42-F42</f>
        <v>65413000</v>
      </c>
      <c r="E34" s="1357"/>
      <c r="F34" s="1357"/>
      <c r="G34" s="1367">
        <f t="shared" si="8"/>
        <v>65413000</v>
      </c>
    </row>
    <row r="35" spans="1:9" ht="0.15" customHeight="1" x14ac:dyDescent="0.25">
      <c r="A35" s="1228"/>
      <c r="B35" s="1137" t="s">
        <v>357</v>
      </c>
      <c r="C35" s="1339"/>
      <c r="D35" s="1339">
        <f>G24-C31</f>
        <v>65661861</v>
      </c>
      <c r="E35" s="1339"/>
      <c r="F35" s="1339"/>
      <c r="G35" s="1356">
        <f t="shared" si="8"/>
        <v>65661861</v>
      </c>
    </row>
    <row r="36" spans="1:9" s="780" customFormat="1" ht="0.15" customHeight="1" thickBot="1" x14ac:dyDescent="0.3">
      <c r="A36" s="899"/>
      <c r="B36" s="900" t="s">
        <v>355</v>
      </c>
      <c r="C36" s="1360"/>
      <c r="D36" s="1360">
        <v>66464</v>
      </c>
      <c r="E36" s="1360"/>
      <c r="F36" s="1360"/>
      <c r="G36" s="1368">
        <f t="shared" ref="G36" si="10">SUM(C36:F36)</f>
        <v>66464</v>
      </c>
    </row>
    <row r="37" spans="1:9" ht="12.9" customHeight="1" x14ac:dyDescent="0.25">
      <c r="A37" s="411" t="s">
        <v>247</v>
      </c>
      <c r="B37" s="445" t="s">
        <v>55</v>
      </c>
      <c r="C37" s="1278"/>
      <c r="D37" s="1278"/>
      <c r="E37" s="1278"/>
      <c r="F37" s="1278"/>
      <c r="G37" s="1356"/>
    </row>
    <row r="38" spans="1:9" ht="12.9" customHeight="1" thickBot="1" x14ac:dyDescent="0.3">
      <c r="A38" s="423"/>
      <c r="B38" s="444" t="s">
        <v>356</v>
      </c>
      <c r="C38" s="1341">
        <v>267000</v>
      </c>
      <c r="D38" s="1341"/>
      <c r="E38" s="1341"/>
      <c r="F38" s="1341"/>
      <c r="G38" s="1356">
        <f t="shared" ref="G38:G40" si="11">SUM(C38:F38)</f>
        <v>267000</v>
      </c>
    </row>
    <row r="39" spans="1:9" ht="0.15" customHeight="1" x14ac:dyDescent="0.25">
      <c r="A39" s="443"/>
      <c r="B39" s="446" t="s">
        <v>357</v>
      </c>
      <c r="C39" s="1292"/>
      <c r="D39" s="1292"/>
      <c r="E39" s="1292"/>
      <c r="F39" s="1292"/>
      <c r="G39" s="1359">
        <f t="shared" si="11"/>
        <v>0</v>
      </c>
    </row>
    <row r="40" spans="1:9" s="780" customFormat="1" ht="0.15" customHeight="1" thickBot="1" x14ac:dyDescent="0.3">
      <c r="A40" s="901"/>
      <c r="B40" s="902" t="s">
        <v>355</v>
      </c>
      <c r="C40" s="1362">
        <v>209</v>
      </c>
      <c r="D40" s="1362"/>
      <c r="E40" s="1362"/>
      <c r="F40" s="1362"/>
      <c r="G40" s="1361">
        <f t="shared" si="11"/>
        <v>209</v>
      </c>
    </row>
    <row r="41" spans="1:9" ht="12.9" customHeight="1" x14ac:dyDescent="0.25">
      <c r="A41" s="2636" t="s">
        <v>96</v>
      </c>
      <c r="B41" s="2637"/>
      <c r="C41" s="1363"/>
      <c r="D41" s="1363"/>
      <c r="E41" s="1363"/>
      <c r="F41" s="1363"/>
      <c r="G41" s="1369"/>
      <c r="I41" s="82"/>
    </row>
    <row r="42" spans="1:9" ht="12.9" customHeight="1" x14ac:dyDescent="0.25">
      <c r="A42" s="594"/>
      <c r="B42" s="598" t="s">
        <v>356</v>
      </c>
      <c r="C42" s="1365">
        <f>SUM(C38+C34+C30)</f>
        <v>267000</v>
      </c>
      <c r="D42" s="1365">
        <f t="shared" ref="C42:G43" si="12">D30+D34</f>
        <v>65413000</v>
      </c>
      <c r="E42" s="1365">
        <f t="shared" si="12"/>
        <v>0</v>
      </c>
      <c r="F42" s="1365">
        <f t="shared" si="12"/>
        <v>0</v>
      </c>
      <c r="G42" s="1370">
        <f>G30+G34+G38</f>
        <v>65680000</v>
      </c>
      <c r="I42" s="82"/>
    </row>
    <row r="43" spans="1:9" ht="0.15" customHeight="1" x14ac:dyDescent="0.25">
      <c r="A43" s="440"/>
      <c r="B43" s="447" t="s">
        <v>357</v>
      </c>
      <c r="C43" s="431">
        <f t="shared" si="12"/>
        <v>0</v>
      </c>
      <c r="D43" s="431">
        <f t="shared" si="12"/>
        <v>65661861</v>
      </c>
      <c r="E43" s="431">
        <f t="shared" si="12"/>
        <v>0</v>
      </c>
      <c r="F43" s="431">
        <f t="shared" si="12"/>
        <v>0</v>
      </c>
      <c r="G43" s="432">
        <f t="shared" si="12"/>
        <v>65661861</v>
      </c>
      <c r="I43" s="82"/>
    </row>
    <row r="44" spans="1:9" s="780" customFormat="1" ht="0.15" customHeight="1" x14ac:dyDescent="0.25">
      <c r="A44" s="908"/>
      <c r="B44" s="909" t="s">
        <v>355</v>
      </c>
      <c r="C44" s="905">
        <f>C32+C36+C40</f>
        <v>523</v>
      </c>
      <c r="D44" s="905">
        <f>D32+D36</f>
        <v>66464</v>
      </c>
      <c r="E44" s="905">
        <f>E32+E36</f>
        <v>0</v>
      </c>
      <c r="F44" s="905">
        <f>F32+F36</f>
        <v>0</v>
      </c>
      <c r="G44" s="906">
        <f>G32+G36+G40</f>
        <v>66987</v>
      </c>
      <c r="I44" s="907"/>
    </row>
    <row r="45" spans="1:9" s="780" customFormat="1" ht="12.6" customHeight="1" thickBot="1" x14ac:dyDescent="0.3">
      <c r="A45" s="910"/>
      <c r="B45" s="911" t="s">
        <v>427</v>
      </c>
      <c r="C45" s="912" t="e">
        <f>SUM(C44)/C43</f>
        <v>#DIV/0!</v>
      </c>
      <c r="D45" s="912">
        <f t="shared" ref="D45:G45" si="13">SUM(D44)/D43</f>
        <v>1.0122162087364535E-3</v>
      </c>
      <c r="E45" s="912"/>
      <c r="F45" s="912"/>
      <c r="G45" s="918">
        <f t="shared" si="13"/>
        <v>1.0201812586457153E-3</v>
      </c>
      <c r="I45" s="907"/>
    </row>
    <row r="46" spans="1:9" ht="12.6" customHeight="1" x14ac:dyDescent="0.25">
      <c r="A46" s="437"/>
      <c r="B46" s="421"/>
      <c r="C46" s="422"/>
      <c r="D46" s="422"/>
      <c r="E46" s="422"/>
      <c r="F46" s="422"/>
      <c r="G46" s="424"/>
      <c r="I46" s="82"/>
    </row>
    <row r="47" spans="1:9" ht="12.6" customHeight="1" thickBot="1" x14ac:dyDescent="0.3"/>
    <row r="48" spans="1:9" ht="34.5" customHeight="1" thickBot="1" x14ac:dyDescent="0.4">
      <c r="A48" s="2553" t="s">
        <v>576</v>
      </c>
      <c r="B48" s="2584"/>
      <c r="C48" s="2584"/>
      <c r="D48" s="2584"/>
      <c r="E48" s="2584"/>
      <c r="F48" s="2584"/>
      <c r="G48" s="2613"/>
    </row>
    <row r="49" spans="1:7" ht="16.8" x14ac:dyDescent="0.25">
      <c r="A49" s="319" t="s">
        <v>229</v>
      </c>
      <c r="B49" s="90" t="s">
        <v>238</v>
      </c>
      <c r="C49" s="75" t="s">
        <v>57</v>
      </c>
      <c r="D49" s="75" t="s">
        <v>90</v>
      </c>
      <c r="E49" s="75" t="s">
        <v>91</v>
      </c>
      <c r="F49" s="75" t="s">
        <v>379</v>
      </c>
      <c r="G49" s="121" t="s">
        <v>53</v>
      </c>
    </row>
    <row r="50" spans="1:7" ht="12.9" customHeight="1" x14ac:dyDescent="0.25">
      <c r="A50" s="2614" t="s">
        <v>176</v>
      </c>
      <c r="B50" s="2615"/>
      <c r="C50" s="1371"/>
      <c r="D50" s="1371"/>
      <c r="E50" s="1371"/>
      <c r="F50" s="1371"/>
      <c r="G50" s="1372"/>
    </row>
    <row r="51" spans="1:7" ht="12.9" customHeight="1" x14ac:dyDescent="0.25">
      <c r="A51" s="399" t="s">
        <v>245</v>
      </c>
      <c r="B51" s="1099" t="s">
        <v>246</v>
      </c>
      <c r="C51" s="1314"/>
      <c r="D51" s="1314"/>
      <c r="E51" s="1314"/>
      <c r="F51" s="1314"/>
      <c r="G51" s="1373">
        <f>SUM(C51:F51)</f>
        <v>0</v>
      </c>
    </row>
    <row r="52" spans="1:7" ht="12.9" customHeight="1" thickBot="1" x14ac:dyDescent="0.3">
      <c r="A52" s="1174"/>
      <c r="B52" s="1138" t="s">
        <v>356</v>
      </c>
      <c r="C52" s="1357"/>
      <c r="D52" s="1357"/>
      <c r="E52" s="1357">
        <f>E15</f>
        <v>1524000</v>
      </c>
      <c r="F52" s="1357"/>
      <c r="G52" s="1358">
        <f t="shared" ref="G52:G67" si="14">SUM(C52:F52)</f>
        <v>1524000</v>
      </c>
    </row>
    <row r="53" spans="1:7" ht="0.15" customHeight="1" x14ac:dyDescent="0.25">
      <c r="A53" s="1225"/>
      <c r="B53" s="1137" t="s">
        <v>357</v>
      </c>
      <c r="C53" s="1339"/>
      <c r="D53" s="1339"/>
      <c r="E53" s="1339">
        <f>E16</f>
        <v>1524000</v>
      </c>
      <c r="F53" s="1339"/>
      <c r="G53" s="1359">
        <f t="shared" si="14"/>
        <v>1524000</v>
      </c>
    </row>
    <row r="54" spans="1:7" s="780" customFormat="1" ht="0.15" customHeight="1" x14ac:dyDescent="0.25">
      <c r="A54" s="1134"/>
      <c r="B54" s="904" t="s">
        <v>355</v>
      </c>
      <c r="C54" s="1374"/>
      <c r="D54" s="1374"/>
      <c r="E54" s="1374">
        <f>E17</f>
        <v>157</v>
      </c>
      <c r="F54" s="1374"/>
      <c r="G54" s="1375">
        <f t="shared" ref="G54" si="15">SUM(C54:F54)</f>
        <v>157</v>
      </c>
    </row>
    <row r="55" spans="1:7" ht="12.9" customHeight="1" x14ac:dyDescent="0.25">
      <c r="A55" s="425" t="s">
        <v>247</v>
      </c>
      <c r="B55" s="401" t="s">
        <v>55</v>
      </c>
      <c r="C55" s="1292"/>
      <c r="D55" s="1292"/>
      <c r="E55" s="1292"/>
      <c r="F55" s="1292"/>
      <c r="G55" s="1373"/>
    </row>
    <row r="56" spans="1:7" ht="12.9" customHeight="1" thickBot="1" x14ac:dyDescent="0.3">
      <c r="A56" s="323"/>
      <c r="B56" s="1138" t="s">
        <v>356</v>
      </c>
      <c r="C56" s="1315">
        <f t="shared" ref="C56:E58" si="16">C19</f>
        <v>39451000</v>
      </c>
      <c r="D56" s="1315">
        <f t="shared" si="16"/>
        <v>8187000</v>
      </c>
      <c r="E56" s="1315">
        <f t="shared" si="16"/>
        <v>13280000</v>
      </c>
      <c r="F56" s="1315">
        <f>SUM(F19)</f>
        <v>1210000</v>
      </c>
      <c r="G56" s="1358">
        <f t="shared" si="14"/>
        <v>62128000</v>
      </c>
    </row>
    <row r="57" spans="1:7" ht="0.15" customHeight="1" x14ac:dyDescent="0.25">
      <c r="A57" s="315"/>
      <c r="B57" s="1137" t="s">
        <v>357</v>
      </c>
      <c r="C57" s="1278">
        <f t="shared" si="16"/>
        <v>39451090</v>
      </c>
      <c r="D57" s="1278">
        <f t="shared" si="16"/>
        <v>8187025</v>
      </c>
      <c r="E57" s="1278">
        <f t="shared" si="16"/>
        <v>13279200</v>
      </c>
      <c r="F57" s="1278">
        <f>SUM(F20)</f>
        <v>1210247</v>
      </c>
      <c r="G57" s="1359">
        <f t="shared" si="14"/>
        <v>62127562</v>
      </c>
    </row>
    <row r="58" spans="1:7" s="780" customFormat="1" ht="0.15" customHeight="1" x14ac:dyDescent="0.25">
      <c r="A58" s="1135"/>
      <c r="B58" s="904" t="s">
        <v>355</v>
      </c>
      <c r="C58" s="1362">
        <f t="shared" si="16"/>
        <v>19213</v>
      </c>
      <c r="D58" s="1362">
        <f t="shared" si="16"/>
        <v>6104</v>
      </c>
      <c r="E58" s="1362">
        <f t="shared" si="16"/>
        <v>8418</v>
      </c>
      <c r="F58" s="1362">
        <f>SUM(F21)</f>
        <v>347</v>
      </c>
      <c r="G58" s="1375">
        <f t="shared" ref="G58" si="17">SUM(C58:F58)</f>
        <v>34082</v>
      </c>
    </row>
    <row r="59" spans="1:7" ht="12.6" customHeight="1" x14ac:dyDescent="0.25">
      <c r="A59" s="1136"/>
      <c r="B59" s="12"/>
      <c r="C59" s="140"/>
      <c r="D59" s="140"/>
      <c r="E59" s="140"/>
      <c r="F59" s="140"/>
      <c r="G59" s="1373"/>
    </row>
    <row r="60" spans="1:7" ht="12.9" customHeight="1" x14ac:dyDescent="0.25">
      <c r="A60" s="2638" t="s">
        <v>178</v>
      </c>
      <c r="B60" s="2639"/>
      <c r="C60" s="1292"/>
      <c r="D60" s="1292"/>
      <c r="E60" s="1292"/>
      <c r="F60" s="1292"/>
      <c r="G60" s="1373"/>
    </row>
    <row r="61" spans="1:7" ht="12.9" customHeight="1" x14ac:dyDescent="0.25">
      <c r="A61" s="399" t="s">
        <v>241</v>
      </c>
      <c r="B61" s="1099" t="s">
        <v>242</v>
      </c>
      <c r="C61" s="1314"/>
      <c r="D61" s="1314"/>
      <c r="E61" s="1314"/>
      <c r="F61" s="1314"/>
      <c r="G61" s="1373"/>
    </row>
    <row r="62" spans="1:7" ht="12.9" customHeight="1" thickBot="1" x14ac:dyDescent="0.3">
      <c r="A62" s="1174"/>
      <c r="B62" s="1138" t="s">
        <v>356</v>
      </c>
      <c r="C62" s="1357">
        <f t="shared" ref="C62:E64" si="18">C7</f>
        <v>0</v>
      </c>
      <c r="D62" s="1357">
        <f t="shared" si="18"/>
        <v>0</v>
      </c>
      <c r="E62" s="1357">
        <f t="shared" si="18"/>
        <v>0</v>
      </c>
      <c r="F62" s="1357"/>
      <c r="G62" s="1358">
        <f t="shared" si="14"/>
        <v>0</v>
      </c>
    </row>
    <row r="63" spans="1:7" ht="0.15" customHeight="1" x14ac:dyDescent="0.25">
      <c r="A63" s="1225"/>
      <c r="B63" s="1137" t="s">
        <v>357</v>
      </c>
      <c r="C63" s="1339">
        <f t="shared" si="18"/>
        <v>168</v>
      </c>
      <c r="D63" s="1339">
        <f t="shared" si="18"/>
        <v>45</v>
      </c>
      <c r="E63" s="1339">
        <f t="shared" si="18"/>
        <v>0</v>
      </c>
      <c r="F63" s="1339">
        <f>SUM(F8)</f>
        <v>0</v>
      </c>
      <c r="G63" s="1359">
        <f t="shared" si="14"/>
        <v>213</v>
      </c>
    </row>
    <row r="64" spans="1:7" s="780" customFormat="1" ht="0.15" customHeight="1" x14ac:dyDescent="0.25">
      <c r="A64" s="1134"/>
      <c r="B64" s="904" t="s">
        <v>355</v>
      </c>
      <c r="C64" s="1374">
        <f t="shared" si="18"/>
        <v>8285</v>
      </c>
      <c r="D64" s="1374">
        <f t="shared" si="18"/>
        <v>1944</v>
      </c>
      <c r="E64" s="1374">
        <f t="shared" si="18"/>
        <v>12265</v>
      </c>
      <c r="F64" s="1374">
        <f>SUM(F9)</f>
        <v>652</v>
      </c>
      <c r="G64" s="1375">
        <f t="shared" ref="G64" si="19">SUM(C64:F64)</f>
        <v>23146</v>
      </c>
    </row>
    <row r="65" spans="1:7" ht="12.9" customHeight="1" x14ac:dyDescent="0.25">
      <c r="A65" s="399" t="s">
        <v>243</v>
      </c>
      <c r="B65" s="1099" t="s">
        <v>244</v>
      </c>
      <c r="C65" s="1314"/>
      <c r="D65" s="1314"/>
      <c r="E65" s="1314"/>
      <c r="F65" s="1314"/>
      <c r="G65" s="1373"/>
    </row>
    <row r="66" spans="1:7" ht="12.9" customHeight="1" thickBot="1" x14ac:dyDescent="0.3">
      <c r="A66" s="320"/>
      <c r="B66" s="446" t="s">
        <v>356</v>
      </c>
      <c r="C66" s="1357">
        <f t="shared" ref="C66:E68" si="20">C11</f>
        <v>1752000</v>
      </c>
      <c r="D66" s="1357">
        <f t="shared" si="20"/>
        <v>250000</v>
      </c>
      <c r="E66" s="1357">
        <f t="shared" si="20"/>
        <v>26000</v>
      </c>
      <c r="F66" s="1357"/>
      <c r="G66" s="1358">
        <f t="shared" si="14"/>
        <v>2028000</v>
      </c>
    </row>
    <row r="67" spans="1:7" ht="0.15" customHeight="1" x14ac:dyDescent="0.25">
      <c r="A67" s="839"/>
      <c r="B67" s="917" t="s">
        <v>357</v>
      </c>
      <c r="C67" s="1339">
        <f t="shared" si="20"/>
        <v>1759124</v>
      </c>
      <c r="D67" s="1339">
        <f t="shared" si="20"/>
        <v>250962</v>
      </c>
      <c r="E67" s="1339"/>
      <c r="F67" s="1339"/>
      <c r="G67" s="1359">
        <f t="shared" si="14"/>
        <v>2010086</v>
      </c>
    </row>
    <row r="68" spans="1:7" s="780" customFormat="1" ht="0.15" customHeight="1" thickBot="1" x14ac:dyDescent="0.3">
      <c r="A68" s="913"/>
      <c r="B68" s="902" t="s">
        <v>355</v>
      </c>
      <c r="C68" s="1360">
        <f t="shared" si="20"/>
        <v>7613</v>
      </c>
      <c r="D68" s="1360">
        <f t="shared" si="20"/>
        <v>1015</v>
      </c>
      <c r="E68" s="1360"/>
      <c r="F68" s="1360"/>
      <c r="G68" s="1361">
        <f t="shared" ref="G68" si="21">SUM(C68:F68)</f>
        <v>8628</v>
      </c>
    </row>
    <row r="69" spans="1:7" ht="12.9" customHeight="1" thickBot="1" x14ac:dyDescent="0.3">
      <c r="A69" s="2609" t="s">
        <v>94</v>
      </c>
      <c r="B69" s="2620"/>
      <c r="C69" s="1319"/>
      <c r="D69" s="1319"/>
      <c r="E69" s="1319"/>
      <c r="F69" s="1319"/>
      <c r="G69" s="1376"/>
    </row>
    <row r="70" spans="1:7" ht="12.9" customHeight="1" x14ac:dyDescent="0.25">
      <c r="A70" s="915"/>
      <c r="B70" s="916" t="s">
        <v>356</v>
      </c>
      <c r="C70" s="1322">
        <f t="shared" ref="C70:G72" si="22">C52+C56+C62+C66</f>
        <v>41203000</v>
      </c>
      <c r="D70" s="1322">
        <f t="shared" si="22"/>
        <v>8437000</v>
      </c>
      <c r="E70" s="1322">
        <f t="shared" si="22"/>
        <v>14830000</v>
      </c>
      <c r="F70" s="1322">
        <f t="shared" si="22"/>
        <v>1210000</v>
      </c>
      <c r="G70" s="1377">
        <f t="shared" si="22"/>
        <v>65680000</v>
      </c>
    </row>
    <row r="71" spans="1:7" ht="0.15" customHeight="1" x14ac:dyDescent="0.25">
      <c r="A71" s="440"/>
      <c r="B71" s="447" t="s">
        <v>357</v>
      </c>
      <c r="C71" s="431">
        <f t="shared" si="22"/>
        <v>41210382</v>
      </c>
      <c r="D71" s="431">
        <f t="shared" si="22"/>
        <v>8438032</v>
      </c>
      <c r="E71" s="431">
        <f t="shared" si="22"/>
        <v>14803200</v>
      </c>
      <c r="F71" s="431">
        <f t="shared" si="22"/>
        <v>1210247</v>
      </c>
      <c r="G71" s="432">
        <f t="shared" si="22"/>
        <v>65661861</v>
      </c>
    </row>
    <row r="72" spans="1:7" s="780" customFormat="1" ht="0.15" customHeight="1" x14ac:dyDescent="0.25">
      <c r="A72" s="903"/>
      <c r="B72" s="904" t="s">
        <v>355</v>
      </c>
      <c r="C72" s="905">
        <f t="shared" si="22"/>
        <v>35111</v>
      </c>
      <c r="D72" s="905">
        <f t="shared" si="22"/>
        <v>9063</v>
      </c>
      <c r="E72" s="905">
        <f t="shared" si="22"/>
        <v>20840</v>
      </c>
      <c r="F72" s="905">
        <f t="shared" si="22"/>
        <v>999</v>
      </c>
      <c r="G72" s="906">
        <f t="shared" si="22"/>
        <v>66013</v>
      </c>
    </row>
    <row r="73" spans="1:7" s="780" customFormat="1" ht="12.6" customHeight="1" thickBot="1" x14ac:dyDescent="0.3">
      <c r="A73" s="910"/>
      <c r="B73" s="911" t="s">
        <v>427</v>
      </c>
      <c r="C73" s="912">
        <f>SUM(C72)/C71</f>
        <v>8.5199404363686801E-4</v>
      </c>
      <c r="D73" s="912">
        <f t="shared" ref="D73:G73" si="23">SUM(D72)/D71</f>
        <v>1.0740656115075175E-3</v>
      </c>
      <c r="E73" s="912">
        <f t="shared" si="23"/>
        <v>1.4078037181150021E-3</v>
      </c>
      <c r="F73" s="912">
        <f t="shared" si="23"/>
        <v>8.2545133348812269E-4</v>
      </c>
      <c r="G73" s="918">
        <f t="shared" si="23"/>
        <v>1.0053476857745474E-3</v>
      </c>
    </row>
    <row r="74" spans="1:7" ht="12.6" customHeight="1" thickBot="1" x14ac:dyDescent="0.3">
      <c r="A74" s="316"/>
      <c r="B74" s="59"/>
      <c r="G74" s="60"/>
    </row>
    <row r="75" spans="1:7" ht="33" customHeight="1" x14ac:dyDescent="0.25">
      <c r="A75" s="896" t="s">
        <v>229</v>
      </c>
      <c r="B75" s="191" t="s">
        <v>238</v>
      </c>
      <c r="C75" s="192" t="s">
        <v>95</v>
      </c>
      <c r="D75" s="192" t="s">
        <v>302</v>
      </c>
      <c r="E75" s="192"/>
      <c r="F75" s="192"/>
      <c r="G75" s="193"/>
    </row>
    <row r="76" spans="1:7" ht="12.9" customHeight="1" x14ac:dyDescent="0.25">
      <c r="A76" s="2638" t="s">
        <v>178</v>
      </c>
      <c r="B76" s="2639"/>
      <c r="C76" s="251"/>
      <c r="D76" s="251"/>
      <c r="E76" s="251"/>
      <c r="F76" s="251"/>
      <c r="G76" s="891"/>
    </row>
    <row r="77" spans="1:7" ht="12.9" customHeight="1" x14ac:dyDescent="0.25">
      <c r="A77" s="399" t="s">
        <v>241</v>
      </c>
      <c r="B77" s="1099" t="s">
        <v>242</v>
      </c>
      <c r="C77" s="1314"/>
      <c r="D77" s="1314"/>
      <c r="E77" s="1314"/>
      <c r="F77" s="1314"/>
      <c r="G77" s="1378"/>
    </row>
    <row r="78" spans="1:7" ht="12.75" customHeight="1" thickBot="1" x14ac:dyDescent="0.3">
      <c r="A78" s="1174"/>
      <c r="B78" s="1138" t="s">
        <v>356</v>
      </c>
      <c r="C78" s="1357">
        <f>C30</f>
        <v>0</v>
      </c>
      <c r="D78" s="1357"/>
      <c r="E78" s="1357"/>
      <c r="F78" s="1357"/>
      <c r="G78" s="1379">
        <f t="shared" ref="G78:G83" si="24">SUM(C78:F78)</f>
        <v>0</v>
      </c>
    </row>
    <row r="79" spans="1:7" ht="12.75" customHeight="1" x14ac:dyDescent="0.25">
      <c r="A79" s="1225"/>
      <c r="B79" s="1137" t="s">
        <v>357</v>
      </c>
      <c r="C79" s="1339">
        <f>C31</f>
        <v>0</v>
      </c>
      <c r="D79" s="1339"/>
      <c r="E79" s="1339"/>
      <c r="F79" s="1339"/>
      <c r="G79" s="1380">
        <f t="shared" si="24"/>
        <v>0</v>
      </c>
    </row>
    <row r="80" spans="1:7" s="780" customFormat="1" ht="12.75" customHeight="1" x14ac:dyDescent="0.25">
      <c r="A80" s="2640" t="s">
        <v>176</v>
      </c>
      <c r="B80" s="2641"/>
      <c r="C80" s="1374">
        <f>C32</f>
        <v>314</v>
      </c>
      <c r="D80" s="1374"/>
      <c r="E80" s="1374"/>
      <c r="F80" s="1374"/>
      <c r="G80" s="1381">
        <f t="shared" ref="G80" si="25">SUM(C80:F80)</f>
        <v>314</v>
      </c>
    </row>
    <row r="81" spans="1:7" ht="12.75" customHeight="1" x14ac:dyDescent="0.25">
      <c r="A81" s="399" t="s">
        <v>284</v>
      </c>
      <c r="B81" s="1099" t="s">
        <v>286</v>
      </c>
      <c r="C81" s="1314"/>
      <c r="D81" s="1314"/>
      <c r="E81" s="1314"/>
      <c r="F81" s="1314"/>
      <c r="G81" s="1382"/>
    </row>
    <row r="82" spans="1:7" ht="12.9" customHeight="1" thickBot="1" x14ac:dyDescent="0.3">
      <c r="A82" s="1174"/>
      <c r="B82" s="1138" t="s">
        <v>356</v>
      </c>
      <c r="C82" s="1357"/>
      <c r="D82" s="1357">
        <f>D34</f>
        <v>65413000</v>
      </c>
      <c r="E82" s="1357"/>
      <c r="F82" s="1357"/>
      <c r="G82" s="1379">
        <f t="shared" si="24"/>
        <v>65413000</v>
      </c>
    </row>
    <row r="83" spans="1:7" ht="0.15" customHeight="1" x14ac:dyDescent="0.25">
      <c r="A83" s="1228"/>
      <c r="B83" s="1137" t="s">
        <v>357</v>
      </c>
      <c r="C83" s="1339"/>
      <c r="D83" s="1339">
        <f>D35</f>
        <v>65661861</v>
      </c>
      <c r="E83" s="1339"/>
      <c r="F83" s="1339"/>
      <c r="G83" s="1380">
        <f t="shared" si="24"/>
        <v>65661861</v>
      </c>
    </row>
    <row r="84" spans="1:7" s="780" customFormat="1" ht="0.15" customHeight="1" x14ac:dyDescent="0.25">
      <c r="A84" s="1134"/>
      <c r="B84" s="904" t="s">
        <v>355</v>
      </c>
      <c r="C84" s="1374"/>
      <c r="D84" s="1374">
        <f>D36</f>
        <v>66464</v>
      </c>
      <c r="E84" s="1374"/>
      <c r="F84" s="1374"/>
      <c r="G84" s="1381">
        <f t="shared" ref="G84" si="26">SUM(C84:F84)</f>
        <v>66464</v>
      </c>
    </row>
    <row r="85" spans="1:7" ht="12.9" customHeight="1" x14ac:dyDescent="0.25">
      <c r="A85" s="425" t="s">
        <v>247</v>
      </c>
      <c r="B85" s="401" t="s">
        <v>55</v>
      </c>
      <c r="C85" s="1292"/>
      <c r="D85" s="1292"/>
      <c r="E85" s="1292"/>
      <c r="F85" s="1292"/>
      <c r="G85" s="1373"/>
    </row>
    <row r="86" spans="1:7" ht="12.9" customHeight="1" thickBot="1" x14ac:dyDescent="0.3">
      <c r="A86" s="323"/>
      <c r="B86" s="1138" t="s">
        <v>356</v>
      </c>
      <c r="C86" s="1315">
        <f>SUM(C38)</f>
        <v>267000</v>
      </c>
      <c r="D86" s="1315"/>
      <c r="E86" s="1315"/>
      <c r="F86" s="1315"/>
      <c r="G86" s="1379">
        <f t="shared" ref="G86:G88" si="27">SUM(C86:F86)</f>
        <v>267000</v>
      </c>
    </row>
    <row r="87" spans="1:7" ht="0.15" customHeight="1" x14ac:dyDescent="0.25">
      <c r="A87" s="1124"/>
      <c r="B87" s="1137" t="s">
        <v>357</v>
      </c>
      <c r="C87" s="1278"/>
      <c r="D87" s="1278"/>
      <c r="E87" s="1278"/>
      <c r="F87" s="1278"/>
      <c r="G87" s="1380">
        <f t="shared" si="27"/>
        <v>0</v>
      </c>
    </row>
    <row r="88" spans="1:7" s="780" customFormat="1" ht="0.15" customHeight="1" thickBot="1" x14ac:dyDescent="0.3">
      <c r="A88" s="901"/>
      <c r="B88" s="902" t="s">
        <v>355</v>
      </c>
      <c r="C88" s="1362">
        <v>209</v>
      </c>
      <c r="D88" s="1383"/>
      <c r="E88" s="1362"/>
      <c r="F88" s="1362"/>
      <c r="G88" s="1384">
        <f t="shared" si="27"/>
        <v>209</v>
      </c>
    </row>
    <row r="89" spans="1:7" ht="12.9" customHeight="1" x14ac:dyDescent="0.25">
      <c r="A89" s="2636" t="s">
        <v>96</v>
      </c>
      <c r="B89" s="2637"/>
      <c r="C89" s="1363"/>
      <c r="D89" s="1385"/>
      <c r="E89" s="1363"/>
      <c r="F89" s="1363"/>
      <c r="G89" s="1386"/>
    </row>
    <row r="90" spans="1:7" ht="12.9" customHeight="1" x14ac:dyDescent="0.25">
      <c r="A90" s="596"/>
      <c r="B90" s="598" t="s">
        <v>356</v>
      </c>
      <c r="C90" s="1387">
        <f>SUM(C86+C82+C78)</f>
        <v>267000</v>
      </c>
      <c r="D90" s="1387">
        <f t="shared" ref="D90:F92" si="28">D78+D82</f>
        <v>65413000</v>
      </c>
      <c r="E90" s="1387">
        <f t="shared" si="28"/>
        <v>0</v>
      </c>
      <c r="F90" s="1387">
        <f t="shared" si="28"/>
        <v>0</v>
      </c>
      <c r="G90" s="1388">
        <f>G78+G82+G86</f>
        <v>65680000</v>
      </c>
    </row>
    <row r="91" spans="1:7" ht="0.15" customHeight="1" x14ac:dyDescent="0.25">
      <c r="A91" s="442"/>
      <c r="B91" s="447" t="s">
        <v>357</v>
      </c>
      <c r="C91" s="1389">
        <f>C79+C83</f>
        <v>0</v>
      </c>
      <c r="D91" s="1389">
        <f t="shared" si="28"/>
        <v>65661861</v>
      </c>
      <c r="E91" s="1389">
        <f t="shared" si="28"/>
        <v>0</v>
      </c>
      <c r="F91" s="1389">
        <f t="shared" si="28"/>
        <v>0</v>
      </c>
      <c r="G91" s="1390">
        <f>G79+G83</f>
        <v>65661861</v>
      </c>
    </row>
    <row r="92" spans="1:7" s="780" customFormat="1" ht="0.15" customHeight="1" x14ac:dyDescent="0.25">
      <c r="A92" s="810"/>
      <c r="B92" s="909" t="s">
        <v>355</v>
      </c>
      <c r="C92" s="1391">
        <f>C80+C84+C88</f>
        <v>523</v>
      </c>
      <c r="D92" s="1391">
        <f t="shared" si="28"/>
        <v>66464</v>
      </c>
      <c r="E92" s="1391">
        <f t="shared" si="28"/>
        <v>0</v>
      </c>
      <c r="F92" s="1391">
        <f t="shared" si="28"/>
        <v>0</v>
      </c>
      <c r="G92" s="1392">
        <f>G80+G84+G88</f>
        <v>66987</v>
      </c>
    </row>
    <row r="93" spans="1:7" s="780" customFormat="1" ht="12.6" customHeight="1" thickBot="1" x14ac:dyDescent="0.3">
      <c r="A93" s="914"/>
      <c r="B93" s="911" t="s">
        <v>427</v>
      </c>
      <c r="C93" s="1393" t="e">
        <f>SUM(C92)/C91</f>
        <v>#DIV/0!</v>
      </c>
      <c r="D93" s="1393">
        <f t="shared" ref="D93:G93" si="29">SUM(D92)/D91</f>
        <v>1.0122162087364535E-3</v>
      </c>
      <c r="E93" s="1393"/>
      <c r="F93" s="1393"/>
      <c r="G93" s="1394">
        <f t="shared" si="29"/>
        <v>1.0201812586457153E-3</v>
      </c>
    </row>
    <row r="94" spans="1:7" ht="12.6" customHeight="1" x14ac:dyDescent="0.25">
      <c r="B94" s="52"/>
      <c r="C94" s="58"/>
      <c r="D94" s="58"/>
      <c r="E94" s="58"/>
      <c r="F94" s="58"/>
    </row>
    <row r="95" spans="1:7" x14ac:dyDescent="0.25">
      <c r="B95" s="52"/>
      <c r="C95" s="52"/>
      <c r="D95" s="52"/>
      <c r="E95" s="52"/>
      <c r="F95" s="52"/>
    </row>
    <row r="96" spans="1:7" x14ac:dyDescent="0.25">
      <c r="A96" s="318"/>
      <c r="B96" s="58"/>
      <c r="C96" s="58"/>
      <c r="D96" s="58"/>
      <c r="E96" s="58"/>
      <c r="F96" s="58"/>
    </row>
  </sheetData>
  <mergeCells count="10">
    <mergeCell ref="A89:B89"/>
    <mergeCell ref="A76:B76"/>
    <mergeCell ref="A1:G1"/>
    <mergeCell ref="A48:G48"/>
    <mergeCell ref="A50:B50"/>
    <mergeCell ref="A60:B60"/>
    <mergeCell ref="A22:B22"/>
    <mergeCell ref="A41:B41"/>
    <mergeCell ref="A69:B69"/>
    <mergeCell ref="A80:B80"/>
  </mergeCells>
  <phoneticPr fontId="3" type="noConversion"/>
  <pageMargins left="0.7" right="0.7" top="0.75" bottom="0.75" header="0.3" footer="0.3"/>
  <pageSetup paperSize="9" scale="58" orientation="landscape" r:id="rId1"/>
  <headerFooter alignWithMargins="0">
    <oddHeader>&amp;A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1"/>
  <sheetViews>
    <sheetView topLeftCell="B1" workbookViewId="0">
      <selection activeCell="C1" sqref="C1:K11"/>
    </sheetView>
  </sheetViews>
  <sheetFormatPr defaultRowHeight="12.6" x14ac:dyDescent="0.25"/>
  <cols>
    <col min="1" max="1" width="0.88671875" style="3" hidden="1" customWidth="1"/>
    <col min="2" max="2" width="0.88671875" style="4" customWidth="1"/>
    <col min="3" max="3" width="28.6640625" style="4" customWidth="1"/>
    <col min="4" max="4" width="28.6640625" customWidth="1"/>
    <col min="5" max="6" width="0.109375" customWidth="1"/>
    <col min="7" max="7" width="0.6640625" style="1" customWidth="1"/>
    <col min="8" max="8" width="28.6640625" style="1" customWidth="1"/>
    <col min="9" max="9" width="28.6640625" customWidth="1"/>
    <col min="10" max="11" width="0.109375" customWidth="1"/>
    <col min="12" max="12" width="8.88671875" style="1" customWidth="1"/>
  </cols>
  <sheetData>
    <row r="1" spans="1:12" ht="18.600000000000001" thickBot="1" x14ac:dyDescent="0.4">
      <c r="A1" s="27" t="s">
        <v>22</v>
      </c>
      <c r="B1" s="27"/>
      <c r="C1" s="2550" t="s">
        <v>577</v>
      </c>
      <c r="D1" s="2551"/>
      <c r="E1" s="2551"/>
      <c r="F1" s="2551"/>
      <c r="G1" s="2551"/>
      <c r="H1" s="2551"/>
      <c r="I1" s="2551"/>
      <c r="J1" s="2551"/>
      <c r="K1" s="2552"/>
      <c r="L1" s="91"/>
    </row>
    <row r="2" spans="1:12" ht="18.600000000000001" thickBot="1" x14ac:dyDescent="0.4">
      <c r="A2" s="27"/>
      <c r="B2" s="27"/>
      <c r="C2" s="166"/>
      <c r="D2" s="96"/>
      <c r="E2" s="96"/>
      <c r="F2" s="97"/>
      <c r="G2" s="96"/>
      <c r="H2" s="109"/>
      <c r="I2" s="98"/>
      <c r="J2" s="98"/>
      <c r="K2" s="167"/>
      <c r="L2" s="91"/>
    </row>
    <row r="3" spans="1:12" ht="16.2" thickBot="1" x14ac:dyDescent="0.35">
      <c r="A3" s="4"/>
      <c r="C3" s="99"/>
      <c r="D3" s="490" t="s">
        <v>5</v>
      </c>
      <c r="E3" s="490"/>
      <c r="F3" s="599"/>
      <c r="G3" s="602"/>
      <c r="H3" s="93"/>
      <c r="I3" s="490" t="s">
        <v>108</v>
      </c>
      <c r="J3" s="490"/>
      <c r="K3" s="100"/>
      <c r="L3" s="91"/>
    </row>
    <row r="4" spans="1:12" ht="3" customHeight="1" x14ac:dyDescent="0.3">
      <c r="A4" s="4"/>
      <c r="C4" s="103"/>
      <c r="D4" s="104"/>
      <c r="E4" s="104"/>
      <c r="F4" s="600"/>
      <c r="G4" s="603"/>
      <c r="H4" s="108"/>
      <c r="I4" s="104"/>
      <c r="J4" s="395"/>
      <c r="K4" s="60"/>
      <c r="L4" s="91"/>
    </row>
    <row r="5" spans="1:12" ht="14.4" x14ac:dyDescent="0.3">
      <c r="A5" s="4"/>
      <c r="C5" s="107"/>
      <c r="D5" s="390" t="s">
        <v>367</v>
      </c>
      <c r="E5" s="390"/>
      <c r="F5" s="390"/>
      <c r="G5" s="604"/>
      <c r="H5" s="214"/>
      <c r="I5" s="390" t="s">
        <v>367</v>
      </c>
      <c r="J5" s="390"/>
      <c r="K5" s="391"/>
      <c r="L5" s="91"/>
    </row>
    <row r="6" spans="1:12" ht="14.4" x14ac:dyDescent="0.3">
      <c r="A6" s="4"/>
      <c r="C6" s="165"/>
      <c r="D6" s="224"/>
      <c r="E6" s="224"/>
      <c r="F6" s="601"/>
      <c r="G6" s="604"/>
      <c r="H6" s="568" t="s">
        <v>592</v>
      </c>
      <c r="I6" s="1397">
        <v>460000</v>
      </c>
      <c r="J6" s="223">
        <f t="shared" ref="J6:J8" si="0">SUM(I6)</f>
        <v>460000</v>
      </c>
      <c r="K6" s="392"/>
      <c r="L6" s="91"/>
    </row>
    <row r="7" spans="1:12" ht="1.95" customHeight="1" x14ac:dyDescent="0.3">
      <c r="A7" s="4"/>
      <c r="C7" s="165"/>
      <c r="D7" s="223"/>
      <c r="E7" s="223"/>
      <c r="F7" s="571"/>
      <c r="G7" s="604"/>
      <c r="H7" s="568"/>
      <c r="I7" s="1397"/>
      <c r="J7" s="223">
        <f t="shared" si="0"/>
        <v>0</v>
      </c>
      <c r="K7" s="392">
        <v>80</v>
      </c>
      <c r="L7" s="91"/>
    </row>
    <row r="8" spans="1:12" ht="14.4" x14ac:dyDescent="0.3">
      <c r="A8" s="4"/>
      <c r="B8" s="273"/>
      <c r="C8" s="269"/>
      <c r="D8" s="223"/>
      <c r="E8" s="223"/>
      <c r="F8" s="571"/>
      <c r="G8" s="604"/>
      <c r="H8" s="568" t="s">
        <v>446</v>
      </c>
      <c r="I8" s="1397">
        <v>500000</v>
      </c>
      <c r="J8" s="223">
        <f t="shared" si="0"/>
        <v>500000</v>
      </c>
      <c r="K8" s="392">
        <v>44</v>
      </c>
      <c r="L8" s="91"/>
    </row>
    <row r="9" spans="1:12" ht="29.4" thickBot="1" x14ac:dyDescent="0.35">
      <c r="A9" s="4"/>
      <c r="B9" s="273"/>
      <c r="C9" s="269"/>
      <c r="D9" s="223"/>
      <c r="E9" s="223"/>
      <c r="F9" s="571"/>
      <c r="G9" s="604"/>
      <c r="H9" s="541" t="s">
        <v>625</v>
      </c>
      <c r="I9" s="1398">
        <v>250000</v>
      </c>
      <c r="J9" s="543"/>
      <c r="K9" s="525">
        <v>200</v>
      </c>
      <c r="L9" s="91"/>
    </row>
    <row r="10" spans="1:12" ht="16.2" thickBot="1" x14ac:dyDescent="0.35">
      <c r="A10"/>
      <c r="B10" s="367"/>
      <c r="C10" s="101" t="s">
        <v>53</v>
      </c>
      <c r="D10" s="394">
        <f>SUM(D6:D7)</f>
        <v>0</v>
      </c>
      <c r="E10" s="220">
        <f>SUM(E6:E7)</f>
        <v>0</v>
      </c>
      <c r="F10" s="394"/>
      <c r="G10" s="605"/>
      <c r="H10" s="221"/>
      <c r="I10" s="1399">
        <f>SUM(I6:I9)</f>
        <v>1210000</v>
      </c>
      <c r="J10" s="494">
        <f>SUM(J6:J9)</f>
        <v>960000</v>
      </c>
      <c r="K10" s="215">
        <f>SUM(K6:K9)</f>
        <v>324</v>
      </c>
      <c r="L10" s="91"/>
    </row>
    <row r="11" spans="1:12" ht="15" customHeight="1" thickBot="1" x14ac:dyDescent="0.35">
      <c r="A11"/>
      <c r="B11"/>
      <c r="C11" s="221" t="s">
        <v>368</v>
      </c>
      <c r="D11" s="267"/>
      <c r="E11" s="221"/>
      <c r="F11" s="222"/>
      <c r="G11" s="222"/>
      <c r="H11" s="398"/>
      <c r="I11" s="1399">
        <f>SUM(I10+D10)</f>
        <v>1210000</v>
      </c>
      <c r="J11" s="494"/>
      <c r="K11" s="216">
        <f>SUM(D10+I10)</f>
        <v>1210000</v>
      </c>
      <c r="L11" s="91"/>
    </row>
    <row r="12" spans="1:12" ht="0.15" customHeight="1" thickBot="1" x14ac:dyDescent="0.35">
      <c r="A12"/>
      <c r="B12"/>
      <c r="C12" s="221" t="s">
        <v>369</v>
      </c>
      <c r="D12" s="267"/>
      <c r="E12" s="221"/>
      <c r="F12" s="222"/>
      <c r="G12" s="222"/>
      <c r="H12" s="398"/>
      <c r="I12" s="1400"/>
      <c r="J12" s="494">
        <f>SUM(J10+E10)</f>
        <v>960000</v>
      </c>
      <c r="K12" s="216">
        <f>SUM(E10+J10)</f>
        <v>960000</v>
      </c>
      <c r="L12" s="91"/>
    </row>
    <row r="13" spans="1:12" s="780" customFormat="1" ht="0.15" customHeight="1" thickBot="1" x14ac:dyDescent="0.35">
      <c r="C13" s="923" t="s">
        <v>431</v>
      </c>
      <c r="D13" s="924"/>
      <c r="E13" s="923"/>
      <c r="F13" s="925"/>
      <c r="G13" s="925"/>
      <c r="H13" s="925"/>
      <c r="I13" s="1401"/>
      <c r="J13" s="933"/>
      <c r="K13" s="934">
        <f>SUM(F10+K10)</f>
        <v>324</v>
      </c>
      <c r="L13" s="932"/>
    </row>
    <row r="14" spans="1:12" s="21" customFormat="1" ht="15" customHeight="1" thickBot="1" x14ac:dyDescent="0.4">
      <c r="A14" s="20" t="s">
        <v>6</v>
      </c>
      <c r="B14" s="20"/>
      <c r="C14"/>
      <c r="D14"/>
      <c r="E14"/>
      <c r="F14" s="28"/>
      <c r="G14" s="29"/>
      <c r="H14" s="29"/>
      <c r="I14" s="1402"/>
      <c r="J14"/>
      <c r="K14" s="606">
        <f>SUM(K13/K12)</f>
        <v>3.3750000000000002E-4</v>
      </c>
      <c r="L14" s="22"/>
    </row>
    <row r="15" spans="1:12" ht="15" customHeight="1" x14ac:dyDescent="0.35">
      <c r="A15"/>
      <c r="B15"/>
      <c r="C15" s="20"/>
      <c r="D15" s="21"/>
      <c r="E15" s="21"/>
      <c r="F15" s="6"/>
    </row>
    <row r="16" spans="1:12" ht="15" customHeight="1" x14ac:dyDescent="0.25">
      <c r="C16"/>
      <c r="D16" s="1"/>
      <c r="E16" s="1"/>
      <c r="F16" s="17"/>
      <c r="G16"/>
      <c r="H16"/>
    </row>
    <row r="17" spans="1:3" ht="15" customHeight="1" x14ac:dyDescent="0.25">
      <c r="A17" s="5"/>
      <c r="B17" s="5"/>
    </row>
    <row r="18" spans="1:3" x14ac:dyDescent="0.25">
      <c r="A18" s="7"/>
      <c r="B18" s="7"/>
      <c r="C18" s="5"/>
    </row>
    <row r="19" spans="1:3" x14ac:dyDescent="0.25">
      <c r="A19" s="7"/>
      <c r="B19" s="7"/>
      <c r="C19" s="7"/>
    </row>
    <row r="20" spans="1:3" x14ac:dyDescent="0.25">
      <c r="A20" s="7"/>
      <c r="B20" s="7"/>
      <c r="C20" s="7"/>
    </row>
    <row r="21" spans="1:3" x14ac:dyDescent="0.25">
      <c r="A21" s="7"/>
      <c r="B21" s="7"/>
      <c r="C21" s="7"/>
    </row>
    <row r="22" spans="1:3" x14ac:dyDescent="0.25">
      <c r="A22" s="7"/>
      <c r="B22" s="7"/>
      <c r="C22" s="7"/>
    </row>
    <row r="23" spans="1:3" x14ac:dyDescent="0.25">
      <c r="A23" s="7"/>
      <c r="B23" s="7"/>
      <c r="C23" s="7"/>
    </row>
    <row r="24" spans="1:3" x14ac:dyDescent="0.25">
      <c r="A24" s="7"/>
      <c r="B24" s="7"/>
      <c r="C24" s="7"/>
    </row>
    <row r="25" spans="1:3" x14ac:dyDescent="0.25">
      <c r="A25" s="7"/>
      <c r="B25" s="7"/>
      <c r="C25" s="7"/>
    </row>
    <row r="26" spans="1:3" x14ac:dyDescent="0.25">
      <c r="A26" s="7"/>
      <c r="B26" s="7"/>
      <c r="C26" s="7"/>
    </row>
    <row r="27" spans="1:3" x14ac:dyDescent="0.25">
      <c r="A27" s="7"/>
      <c r="B27" s="7"/>
      <c r="C27" s="7"/>
    </row>
    <row r="28" spans="1:3" x14ac:dyDescent="0.25">
      <c r="A28" s="7"/>
      <c r="B28" s="7"/>
      <c r="C28" s="7"/>
    </row>
    <row r="29" spans="1:3" x14ac:dyDescent="0.25">
      <c r="A29" s="7"/>
      <c r="B29" s="7"/>
      <c r="C29" s="7"/>
    </row>
    <row r="30" spans="1:3" x14ac:dyDescent="0.25">
      <c r="A30" s="7"/>
      <c r="B30" s="7"/>
      <c r="C30" s="7"/>
    </row>
    <row r="31" spans="1:3" x14ac:dyDescent="0.25">
      <c r="A31" s="7"/>
      <c r="B31" s="7"/>
      <c r="C31" s="7"/>
    </row>
    <row r="32" spans="1:3" x14ac:dyDescent="0.25">
      <c r="A32" s="7"/>
      <c r="B32" s="7"/>
      <c r="C32" s="7"/>
    </row>
    <row r="33" spans="1:12" x14ac:dyDescent="0.25">
      <c r="A33" s="7"/>
      <c r="B33" s="7"/>
      <c r="C33" s="7"/>
    </row>
    <row r="34" spans="1:12" x14ac:dyDescent="0.25">
      <c r="A34" s="7"/>
      <c r="B34" s="7"/>
      <c r="C34" s="7"/>
    </row>
    <row r="35" spans="1:12" x14ac:dyDescent="0.25">
      <c r="A35" s="7"/>
      <c r="B35" s="7"/>
      <c r="C35" s="7"/>
    </row>
    <row r="36" spans="1:12" x14ac:dyDescent="0.25">
      <c r="A36" s="6"/>
      <c r="B36" s="6"/>
      <c r="C36" s="7"/>
    </row>
    <row r="37" spans="1:12" x14ac:dyDescent="0.25">
      <c r="A37" s="1"/>
      <c r="B37" s="1"/>
      <c r="C37" s="6"/>
    </row>
    <row r="38" spans="1:12" x14ac:dyDescent="0.25">
      <c r="A38" s="18"/>
      <c r="B38" s="18"/>
      <c r="C38" s="1"/>
    </row>
    <row r="39" spans="1:12" x14ac:dyDescent="0.25">
      <c r="A39" s="18"/>
      <c r="B39" s="18"/>
      <c r="C39" s="18"/>
    </row>
    <row r="40" spans="1:12" x14ac:dyDescent="0.25">
      <c r="A40" s="18"/>
      <c r="B40" s="18"/>
      <c r="C40" s="18"/>
    </row>
    <row r="41" spans="1:12" s="2" customFormat="1" ht="15.6" x14ac:dyDescent="0.35">
      <c r="A41" s="19"/>
      <c r="B41" s="19"/>
      <c r="C41" s="18"/>
      <c r="D41"/>
      <c r="E41"/>
      <c r="F41"/>
      <c r="G41" s="1"/>
      <c r="H41" s="1"/>
      <c r="I41"/>
      <c r="J41"/>
      <c r="K41"/>
      <c r="L41" s="1"/>
    </row>
    <row r="42" spans="1:12" ht="15.6" x14ac:dyDescent="0.35">
      <c r="A42" s="18"/>
      <c r="B42" s="18"/>
      <c r="C42" s="19"/>
    </row>
    <row r="43" spans="1:12" x14ac:dyDescent="0.25">
      <c r="A43"/>
      <c r="B43"/>
      <c r="C43" s="18"/>
    </row>
    <row r="44" spans="1:12" x14ac:dyDescent="0.25">
      <c r="A44"/>
      <c r="B44"/>
      <c r="C44"/>
    </row>
    <row r="45" spans="1:12" x14ac:dyDescent="0.25">
      <c r="A45"/>
      <c r="B45"/>
      <c r="C45"/>
    </row>
    <row r="46" spans="1:12" x14ac:dyDescent="0.25">
      <c r="A46"/>
      <c r="B46"/>
      <c r="C46"/>
    </row>
    <row r="47" spans="1:12" x14ac:dyDescent="0.25">
      <c r="A47"/>
      <c r="B47"/>
      <c r="C47"/>
    </row>
    <row r="48" spans="1:12" x14ac:dyDescent="0.25">
      <c r="A48" s="18"/>
      <c r="B48" s="18"/>
      <c r="C48"/>
    </row>
    <row r="49" spans="1:12" x14ac:dyDescent="0.25">
      <c r="A49" s="18"/>
      <c r="B49" s="18"/>
      <c r="C49" s="18"/>
    </row>
    <row r="50" spans="1:12" ht="15.6" x14ac:dyDescent="0.35">
      <c r="A50" s="18"/>
      <c r="B50" s="18"/>
      <c r="C50" s="18"/>
      <c r="L50" s="2"/>
    </row>
    <row r="51" spans="1:12" x14ac:dyDescent="0.25">
      <c r="A51" s="18"/>
      <c r="B51" s="18"/>
      <c r="C51" s="18"/>
    </row>
    <row r="52" spans="1:12" x14ac:dyDescent="0.25">
      <c r="A52" s="18"/>
      <c r="B52" s="18"/>
      <c r="C52" s="18"/>
    </row>
    <row r="53" spans="1:12" x14ac:dyDescent="0.25">
      <c r="A53" s="4"/>
      <c r="C53" s="18"/>
    </row>
    <row r="54" spans="1:12" x14ac:dyDescent="0.25">
      <c r="A54" s="4"/>
    </row>
    <row r="55" spans="1:12" x14ac:dyDescent="0.25">
      <c r="A55" s="4"/>
    </row>
    <row r="56" spans="1:12" x14ac:dyDescent="0.25">
      <c r="A56" s="24"/>
    </row>
    <row r="57" spans="1:12" x14ac:dyDescent="0.25">
      <c r="A57" s="24"/>
    </row>
    <row r="58" spans="1:12" x14ac:dyDescent="0.25">
      <c r="A58" s="24"/>
    </row>
    <row r="59" spans="1:12" x14ac:dyDescent="0.25">
      <c r="A59" s="24"/>
    </row>
    <row r="60" spans="1:12" x14ac:dyDescent="0.25">
      <c r="A60" s="24"/>
    </row>
    <row r="61" spans="1:12" x14ac:dyDescent="0.25">
      <c r="A61" s="24"/>
    </row>
    <row r="62" spans="1:12" x14ac:dyDescent="0.25">
      <c r="A62" s="24"/>
    </row>
    <row r="63" spans="1:12" x14ac:dyDescent="0.25">
      <c r="A63" s="24"/>
    </row>
    <row r="64" spans="1:12" x14ac:dyDescent="0.25">
      <c r="A64" s="24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  <row r="73" spans="1:1" x14ac:dyDescent="0.25">
      <c r="A73" s="24"/>
    </row>
    <row r="74" spans="1:1" x14ac:dyDescent="0.25">
      <c r="A74" s="24"/>
    </row>
    <row r="75" spans="1:1" x14ac:dyDescent="0.25">
      <c r="A75" s="24"/>
    </row>
    <row r="76" spans="1:1" x14ac:dyDescent="0.25">
      <c r="A76" s="24"/>
    </row>
    <row r="77" spans="1:1" x14ac:dyDescent="0.25">
      <c r="A77" s="24"/>
    </row>
    <row r="78" spans="1:1" x14ac:dyDescent="0.25">
      <c r="A78" s="24"/>
    </row>
    <row r="79" spans="1:1" x14ac:dyDescent="0.25">
      <c r="A79" s="24"/>
    </row>
    <row r="80" spans="1:1" x14ac:dyDescent="0.25">
      <c r="A80" s="24"/>
    </row>
    <row r="81" spans="1:1" x14ac:dyDescent="0.25">
      <c r="A81" s="24"/>
    </row>
    <row r="82" spans="1:1" x14ac:dyDescent="0.25">
      <c r="A82" s="24"/>
    </row>
    <row r="83" spans="1:1" x14ac:dyDescent="0.25">
      <c r="A83" s="24"/>
    </row>
    <row r="84" spans="1:1" x14ac:dyDescent="0.25">
      <c r="A84" s="24"/>
    </row>
    <row r="85" spans="1:1" x14ac:dyDescent="0.25">
      <c r="A85" s="24"/>
    </row>
    <row r="86" spans="1:1" x14ac:dyDescent="0.25">
      <c r="A86" s="24"/>
    </row>
    <row r="87" spans="1:1" x14ac:dyDescent="0.25">
      <c r="A87" s="24"/>
    </row>
    <row r="88" spans="1:1" x14ac:dyDescent="0.25">
      <c r="A88" s="24"/>
    </row>
    <row r="89" spans="1:1" x14ac:dyDescent="0.25">
      <c r="A89" s="23"/>
    </row>
    <row r="90" spans="1:1" x14ac:dyDescent="0.25">
      <c r="A90" s="23"/>
    </row>
    <row r="91" spans="1:1" x14ac:dyDescent="0.25">
      <c r="A91" s="23"/>
    </row>
  </sheetData>
  <mergeCells count="1">
    <mergeCell ref="C1:K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22">
    <pageSetUpPr fitToPage="1"/>
  </sheetPr>
  <dimension ref="A1:Q212"/>
  <sheetViews>
    <sheetView topLeftCell="A72" workbookViewId="0">
      <selection activeCell="A71" sqref="A71:N106"/>
    </sheetView>
  </sheetViews>
  <sheetFormatPr defaultRowHeight="12.6" x14ac:dyDescent="0.25"/>
  <cols>
    <col min="1" max="1" width="23.33203125" customWidth="1"/>
    <col min="2" max="2" width="12.33203125" customWidth="1"/>
    <col min="3" max="3" width="9.5546875" bestFit="1" customWidth="1"/>
    <col min="4" max="4" width="9.88671875" bestFit="1" customWidth="1"/>
    <col min="5" max="5" width="10.33203125" bestFit="1" customWidth="1"/>
    <col min="6" max="7" width="10.5546875" bestFit="1" customWidth="1"/>
    <col min="8" max="8" width="14" bestFit="1" customWidth="1"/>
    <col min="9" max="10" width="10.5546875" bestFit="1" customWidth="1"/>
    <col min="11" max="11" width="12.44140625" bestFit="1" customWidth="1"/>
    <col min="12" max="12" width="10.5546875" bestFit="1" customWidth="1"/>
    <col min="13" max="13" width="10.88671875" bestFit="1" customWidth="1"/>
    <col min="14" max="14" width="11.33203125" bestFit="1" customWidth="1"/>
    <col min="15" max="15" width="15" bestFit="1" customWidth="1"/>
    <col min="17" max="17" width="12.88671875" bestFit="1" customWidth="1"/>
  </cols>
  <sheetData>
    <row r="1" spans="1:17" ht="3" customHeight="1" thickBot="1" x14ac:dyDescent="0.3"/>
    <row r="2" spans="1:17" ht="29.25" customHeight="1" thickBot="1" x14ac:dyDescent="0.4">
      <c r="A2" s="2535" t="s">
        <v>578</v>
      </c>
      <c r="B2" s="2536"/>
      <c r="C2" s="2536"/>
      <c r="D2" s="2536"/>
      <c r="E2" s="2536"/>
      <c r="F2" s="2536"/>
      <c r="G2" s="2536"/>
      <c r="H2" s="2536"/>
      <c r="I2" s="2536"/>
      <c r="J2" s="2536"/>
      <c r="K2" s="2536"/>
      <c r="L2" s="2536"/>
      <c r="M2" s="2536"/>
      <c r="N2" s="2537"/>
    </row>
    <row r="3" spans="1:17" ht="6" customHeight="1" x14ac:dyDescent="0.25">
      <c r="A3" s="194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95"/>
    </row>
    <row r="4" spans="1:17" ht="13.8" thickBot="1" x14ac:dyDescent="0.3">
      <c r="A4" s="196" t="s">
        <v>136</v>
      </c>
      <c r="B4" s="197"/>
      <c r="C4" s="198"/>
      <c r="D4" s="198"/>
      <c r="E4" s="198"/>
      <c r="F4" s="197"/>
      <c r="G4" s="199"/>
      <c r="H4" s="199"/>
      <c r="I4" s="200"/>
      <c r="J4" s="201"/>
      <c r="K4" s="201"/>
      <c r="L4" s="202"/>
      <c r="M4" s="201"/>
      <c r="N4" s="203"/>
    </row>
    <row r="5" spans="1:17" x14ac:dyDescent="0.25">
      <c r="A5" s="32" t="s">
        <v>32</v>
      </c>
      <c r="B5" s="35" t="s">
        <v>0</v>
      </c>
      <c r="C5" s="33" t="s">
        <v>33</v>
      </c>
      <c r="D5" s="33" t="s">
        <v>34</v>
      </c>
      <c r="E5" s="33" t="s">
        <v>35</v>
      </c>
      <c r="F5" s="33" t="s">
        <v>36</v>
      </c>
      <c r="G5" s="33" t="s">
        <v>37</v>
      </c>
      <c r="H5" s="33" t="s">
        <v>38</v>
      </c>
      <c r="I5" s="33" t="s">
        <v>39</v>
      </c>
      <c r="J5" s="33" t="s">
        <v>47</v>
      </c>
      <c r="K5" s="34" t="s">
        <v>48</v>
      </c>
      <c r="L5" s="33" t="s">
        <v>49</v>
      </c>
      <c r="M5" s="33" t="s">
        <v>50</v>
      </c>
      <c r="N5" s="35" t="s">
        <v>51</v>
      </c>
    </row>
    <row r="6" spans="1:17" ht="13.2" thickBot="1" x14ac:dyDescent="0.3">
      <c r="A6" s="36" t="s">
        <v>40</v>
      </c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17" x14ac:dyDescent="0.25">
      <c r="A7" s="39"/>
      <c r="B7" s="41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spans="1:17" x14ac:dyDescent="0.25">
      <c r="A8" s="42" t="s">
        <v>298</v>
      </c>
      <c r="B8" s="2344">
        <f>'1.sz. melléklet'!B6</f>
        <v>89899000</v>
      </c>
      <c r="C8" s="2345">
        <f>$B8/12</f>
        <v>7491583.333333333</v>
      </c>
      <c r="D8" s="2345">
        <f t="shared" ref="D8:N8" si="0">$B8/12</f>
        <v>7491583.333333333</v>
      </c>
      <c r="E8" s="2345">
        <f t="shared" si="0"/>
        <v>7491583.333333333</v>
      </c>
      <c r="F8" s="2345">
        <f t="shared" si="0"/>
        <v>7491583.333333333</v>
      </c>
      <c r="G8" s="2345">
        <f t="shared" si="0"/>
        <v>7491583.333333333</v>
      </c>
      <c r="H8" s="2345">
        <f t="shared" si="0"/>
        <v>7491583.333333333</v>
      </c>
      <c r="I8" s="2345">
        <f t="shared" si="0"/>
        <v>7491583.333333333</v>
      </c>
      <c r="J8" s="2345">
        <f t="shared" si="0"/>
        <v>7491583.333333333</v>
      </c>
      <c r="K8" s="2345">
        <f t="shared" si="0"/>
        <v>7491583.333333333</v>
      </c>
      <c r="L8" s="2345">
        <f t="shared" si="0"/>
        <v>7491583.333333333</v>
      </c>
      <c r="M8" s="2345">
        <f t="shared" si="0"/>
        <v>7491583.333333333</v>
      </c>
      <c r="N8" s="2355">
        <f t="shared" si="0"/>
        <v>7491583.333333333</v>
      </c>
      <c r="O8" s="2447"/>
      <c r="P8" s="228"/>
      <c r="Q8" s="1402"/>
    </row>
    <row r="9" spans="1:17" x14ac:dyDescent="0.25">
      <c r="A9" s="42" t="s">
        <v>182</v>
      </c>
      <c r="B9" s="2346">
        <f>'1.sz. melléklet'!B5</f>
        <v>580834000</v>
      </c>
      <c r="C9" s="2347">
        <f>SUM('5.a.sz. melléklet'!D89)/16</f>
        <v>36302125</v>
      </c>
      <c r="D9" s="2347">
        <f>SUM('5.a.sz. melléklet'!D89)/16</f>
        <v>36302125</v>
      </c>
      <c r="E9" s="2347">
        <f>SUM('5.a.sz. melléklet'!D89)/16+50663625</f>
        <v>86965750</v>
      </c>
      <c r="F9" s="2347">
        <f>SUM('5.a.sz. melléklet'!D89)/16</f>
        <v>36302125</v>
      </c>
      <c r="G9" s="2347">
        <f>SUM('5.a.sz. melléklet'!D89)/16</f>
        <v>36302125</v>
      </c>
      <c r="H9" s="2347">
        <f>SUM('5.a.sz. melléklet'!D89)/16</f>
        <v>36302125</v>
      </c>
      <c r="I9" s="2347">
        <f>SUM('5.a.sz. melléklet'!D89)/16</f>
        <v>36302125</v>
      </c>
      <c r="J9" s="2347">
        <f>SUM('5.a.sz. melléklet'!D89)/16</f>
        <v>36302125</v>
      </c>
      <c r="K9" s="2347">
        <f>SUM('5.a.sz. melléklet'!D89)/16+54544875</f>
        <v>90847000</v>
      </c>
      <c r="L9" s="2347">
        <f>SUM('5.a.sz. melléklet'!D89)/16</f>
        <v>36302125</v>
      </c>
      <c r="M9" s="2347">
        <f>SUM('5.a.sz. melléklet'!D89)/16</f>
        <v>36302125</v>
      </c>
      <c r="N9" s="2347">
        <f>SUM('5.a.sz. melléklet'!D89)/16+40000000</f>
        <v>76302125</v>
      </c>
      <c r="O9" s="2447"/>
      <c r="P9" s="228"/>
      <c r="Q9" s="1402"/>
    </row>
    <row r="10" spans="1:17" x14ac:dyDescent="0.25">
      <c r="A10" s="42" t="s">
        <v>317</v>
      </c>
      <c r="B10" s="2346">
        <f>SUM('2.sz.melléklet'!E135)</f>
        <v>129565489</v>
      </c>
      <c r="C10" s="2347">
        <f>$B10/12</f>
        <v>10797124.083333334</v>
      </c>
      <c r="D10" s="2347">
        <f t="shared" ref="D10:N10" si="1">$B10/12</f>
        <v>10797124.083333334</v>
      </c>
      <c r="E10" s="2347">
        <f>$B10/12</f>
        <v>10797124.083333334</v>
      </c>
      <c r="F10" s="2347">
        <f t="shared" si="1"/>
        <v>10797124.083333334</v>
      </c>
      <c r="G10" s="2347">
        <f t="shared" si="1"/>
        <v>10797124.083333334</v>
      </c>
      <c r="H10" s="2347">
        <f t="shared" si="1"/>
        <v>10797124.083333334</v>
      </c>
      <c r="I10" s="2347">
        <f t="shared" si="1"/>
        <v>10797124.083333334</v>
      </c>
      <c r="J10" s="2347">
        <f t="shared" si="1"/>
        <v>10797124.083333334</v>
      </c>
      <c r="K10" s="2347">
        <f t="shared" si="1"/>
        <v>10797124.083333334</v>
      </c>
      <c r="L10" s="2347">
        <f t="shared" si="1"/>
        <v>10797124.083333334</v>
      </c>
      <c r="M10" s="2347">
        <f t="shared" si="1"/>
        <v>10797124.083333334</v>
      </c>
      <c r="N10" s="2348">
        <f t="shared" si="1"/>
        <v>10797124.083333334</v>
      </c>
      <c r="O10" s="2447"/>
      <c r="P10" s="228"/>
      <c r="Q10" s="1402"/>
    </row>
    <row r="11" spans="1:17" x14ac:dyDescent="0.25">
      <c r="A11" s="42" t="s">
        <v>102</v>
      </c>
      <c r="B11" s="2346">
        <f>'1.sz. melléklet'!B9</f>
        <v>217933000</v>
      </c>
      <c r="C11" s="2347"/>
      <c r="D11" s="2347"/>
      <c r="E11">
        <v>1728000</v>
      </c>
      <c r="F11" s="2347"/>
      <c r="G11" s="2347">
        <f>SUM('5. sz.melléklet'!C48)</f>
        <v>6205000</v>
      </c>
      <c r="H11" s="2347"/>
      <c r="I11" s="2347">
        <f>SUM('5. sz.melléklet'!C45)</f>
        <v>180000000</v>
      </c>
      <c r="J11" s="2347">
        <f>SUM('5. sz.melléklet'!C49)</f>
        <v>10000000</v>
      </c>
      <c r="K11" s="2347"/>
      <c r="L11" s="2347"/>
      <c r="M11" s="2347">
        <f>SUM('5. sz.melléklet'!C47)</f>
        <v>20000000</v>
      </c>
      <c r="N11" s="2348"/>
      <c r="O11" s="2447"/>
      <c r="P11" s="228"/>
      <c r="Q11" s="1402"/>
    </row>
    <row r="12" spans="1:17" x14ac:dyDescent="0.25">
      <c r="A12" s="42" t="s">
        <v>460</v>
      </c>
      <c r="B12" s="2346">
        <f>SUM('1.sz. melléklet'!B10+'1.sz. melléklet'!B11+'1.sz. melléklet'!B8+'1.sz. melléklet'!B7-'5.b.sz. melléklet'!D34)</f>
        <v>792296174</v>
      </c>
      <c r="C12" s="2347">
        <f>SUM('5. sz.melléklet'!C24/12)+'5. sz.melléklet'!C30/12+'5. sz.melléklet'!C28/2-24447</f>
        <v>1602353</v>
      </c>
      <c r="D12" s="2347">
        <f>SUM('5. sz.melléklet'!C24/12)+'5. sz.melléklet'!C30/12+1080000+'5. sz.melléklet'!C28/2</f>
        <v>2706800</v>
      </c>
      <c r="E12" s="2347">
        <f>SUM('5. sz.melléklet'!C24/12)+'5. sz.melléklet'!C30/12+'5. sz.melléklet'!C26/3</f>
        <v>1944800</v>
      </c>
      <c r="F12" s="2347">
        <f>SUM(C12)-682000-24447</f>
        <v>895906</v>
      </c>
      <c r="G12" s="2347">
        <f>SUM(D12)-682000-24447</f>
        <v>2000353</v>
      </c>
      <c r="H12" s="2347">
        <f>SUM(F12)+'5. sz.melléklet'!C27</f>
        <v>36203906</v>
      </c>
      <c r="I12" s="2347">
        <f>SUM(E12)</f>
        <v>1944800</v>
      </c>
      <c r="J12" s="2347">
        <f>SUM(G12)</f>
        <v>2000353</v>
      </c>
      <c r="K12" s="2347">
        <f>SUM(H12)-'5. sz.melléklet'!C27+'5. sz.melléklet'!C33</f>
        <v>42442481</v>
      </c>
      <c r="L12" s="2347">
        <f>SUM(I12)+'5. sz.melléklet'!C32+'5. sz.melléklet'!C34</f>
        <v>106776887</v>
      </c>
      <c r="M12" s="2347">
        <f>SUM(K12)-'5. sz.melléklet'!C33+'5. sz.melléklet'!C31+'5. sz.melléklet'!C35+'5. sz.melléklet'!C29</f>
        <v>591483818</v>
      </c>
      <c r="N12" s="2347">
        <f>SUM(G12)+293364</f>
        <v>2293717</v>
      </c>
      <c r="O12" s="2447"/>
      <c r="P12" s="228"/>
      <c r="Q12" s="1402"/>
    </row>
    <row r="13" spans="1:17" x14ac:dyDescent="0.25">
      <c r="A13" s="42" t="s">
        <v>4</v>
      </c>
      <c r="B13" s="2346"/>
      <c r="C13" s="2347"/>
      <c r="D13" s="2347"/>
      <c r="E13" s="2347"/>
      <c r="F13" s="2347"/>
      <c r="G13" s="2347"/>
      <c r="H13" s="2347"/>
      <c r="I13" s="2347"/>
      <c r="J13" s="2347"/>
      <c r="K13" s="2347"/>
      <c r="L13" s="2347"/>
      <c r="M13" s="2347"/>
      <c r="N13" s="2348"/>
      <c r="O13" s="2447"/>
      <c r="P13" s="228"/>
      <c r="Q13" s="1402"/>
    </row>
    <row r="14" spans="1:17" x14ac:dyDescent="0.25">
      <c r="A14" s="42" t="s">
        <v>462</v>
      </c>
      <c r="B14" s="2346">
        <f>SUM('2.sz.melléklet'!J135)</f>
        <v>100000000</v>
      </c>
      <c r="C14" s="2347">
        <v>100000000</v>
      </c>
      <c r="D14" s="2347"/>
      <c r="E14" s="2347"/>
      <c r="F14" s="2347"/>
      <c r="G14" s="2347"/>
      <c r="H14" s="2347"/>
      <c r="I14" s="2347"/>
      <c r="J14" s="2347"/>
      <c r="K14" s="2347"/>
      <c r="L14" s="2347"/>
      <c r="M14" s="2347"/>
      <c r="N14" s="2348"/>
      <c r="O14" s="2447"/>
      <c r="P14" s="228"/>
      <c r="Q14" s="1402"/>
    </row>
    <row r="15" spans="1:17" ht="13.8" thickBot="1" x14ac:dyDescent="0.3">
      <c r="A15" s="43" t="s">
        <v>302</v>
      </c>
      <c r="B15" s="2349">
        <f>SUM('2.sz.melléklet'!K135)</f>
        <v>300000000</v>
      </c>
      <c r="C15" s="2350"/>
      <c r="D15" s="2350">
        <v>20000000</v>
      </c>
      <c r="E15" s="2350">
        <v>20000000</v>
      </c>
      <c r="F15" s="2350">
        <v>20000000</v>
      </c>
      <c r="G15" s="2350">
        <v>100000000</v>
      </c>
      <c r="H15" s="2350">
        <v>140000000</v>
      </c>
      <c r="I15" s="2350"/>
      <c r="J15" s="2350"/>
      <c r="K15" s="2350"/>
      <c r="L15" s="2350"/>
      <c r="M15" s="2350"/>
      <c r="N15" s="2440"/>
      <c r="O15" s="2447"/>
      <c r="P15" s="228"/>
      <c r="Q15" s="1402"/>
    </row>
    <row r="16" spans="1:17" ht="13.8" thickBot="1" x14ac:dyDescent="0.3">
      <c r="A16" s="44" t="s">
        <v>19</v>
      </c>
      <c r="B16" s="2351">
        <f>SUM(B8:B15)</f>
        <v>2210527663</v>
      </c>
      <c r="C16" s="2352">
        <f>SUM(C8:C15)</f>
        <v>156193185.41666669</v>
      </c>
      <c r="D16" s="2352">
        <f t="shared" ref="D16:N16" si="2">SUM(D8:D15)</f>
        <v>77297632.416666672</v>
      </c>
      <c r="E16" s="2352">
        <f t="shared" si="2"/>
        <v>128927257.41666666</v>
      </c>
      <c r="F16" s="2352">
        <f t="shared" si="2"/>
        <v>75486738.416666672</v>
      </c>
      <c r="G16" s="2352">
        <f t="shared" si="2"/>
        <v>162796185.41666669</v>
      </c>
      <c r="H16" s="2352">
        <f t="shared" si="2"/>
        <v>230794738.41666669</v>
      </c>
      <c r="I16" s="2352">
        <f t="shared" si="2"/>
        <v>236535632.41666669</v>
      </c>
      <c r="J16" s="2352">
        <f t="shared" si="2"/>
        <v>66591185.416666672</v>
      </c>
      <c r="K16" s="2352">
        <f t="shared" si="2"/>
        <v>151578188.41666666</v>
      </c>
      <c r="L16" s="2352">
        <f t="shared" si="2"/>
        <v>161367719.41666669</v>
      </c>
      <c r="M16" s="2352">
        <f t="shared" si="2"/>
        <v>666074650.41666663</v>
      </c>
      <c r="N16" s="2352">
        <f t="shared" si="2"/>
        <v>96884549.416666657</v>
      </c>
      <c r="O16" s="2447"/>
      <c r="P16" s="228"/>
      <c r="Q16" s="1402"/>
    </row>
    <row r="17" spans="1:17" ht="13.2" x14ac:dyDescent="0.25">
      <c r="A17" s="45"/>
      <c r="B17" s="2353"/>
      <c r="C17" s="2354"/>
      <c r="D17" s="2354"/>
      <c r="E17" s="2354"/>
      <c r="F17" s="2354"/>
      <c r="G17" s="2354"/>
      <c r="H17" s="2354"/>
      <c r="I17" s="2354"/>
      <c r="J17" s="2354"/>
      <c r="K17" s="2354"/>
      <c r="L17" s="2354"/>
      <c r="M17" s="2354"/>
      <c r="N17" s="2353"/>
      <c r="O17" s="2447"/>
      <c r="P17" s="228"/>
      <c r="Q17" s="1402"/>
    </row>
    <row r="18" spans="1:17" ht="13.2" x14ac:dyDescent="0.25">
      <c r="A18" s="46" t="s">
        <v>41</v>
      </c>
      <c r="B18" s="2355"/>
      <c r="C18" s="2345"/>
      <c r="D18" s="2345"/>
      <c r="E18" s="2345"/>
      <c r="F18" s="2345"/>
      <c r="G18" s="2345"/>
      <c r="H18" s="2345"/>
      <c r="I18" s="2345"/>
      <c r="J18" s="2345"/>
      <c r="K18" s="2345"/>
      <c r="L18" s="2345"/>
      <c r="M18" s="2345"/>
      <c r="N18" s="2355"/>
      <c r="O18" s="2447"/>
      <c r="P18" s="228"/>
      <c r="Q18" s="1402"/>
    </row>
    <row r="19" spans="1:17" ht="13.2" x14ac:dyDescent="0.25">
      <c r="A19" s="47"/>
      <c r="B19" s="2355"/>
      <c r="C19" s="2345"/>
      <c r="D19" s="2345"/>
      <c r="E19" s="2345"/>
      <c r="F19" s="2345"/>
      <c r="G19" s="2345"/>
      <c r="H19" s="2345"/>
      <c r="I19" s="2345"/>
      <c r="J19" s="2345"/>
      <c r="K19" s="2345"/>
      <c r="L19" s="2345"/>
      <c r="M19" s="2345"/>
      <c r="N19" s="2355"/>
      <c r="O19" s="2447"/>
      <c r="P19" s="228"/>
      <c r="Q19" s="1402"/>
    </row>
    <row r="20" spans="1:17" x14ac:dyDescent="0.25">
      <c r="A20" s="42" t="s">
        <v>42</v>
      </c>
      <c r="B20" s="2344">
        <f>'6. sz.melléklet'!C132+'6. sz.melléklet'!D132+'6. sz.melléklet'!E132+'6. sz.melléklet'!I132</f>
        <v>357121453</v>
      </c>
      <c r="C20" s="2345">
        <f>$B$20/12</f>
        <v>29760121.083333332</v>
      </c>
      <c r="D20" s="2345">
        <f t="shared" ref="D20:N20" si="3">$B$20/12</f>
        <v>29760121.083333332</v>
      </c>
      <c r="E20" s="2345">
        <f t="shared" si="3"/>
        <v>29760121.083333332</v>
      </c>
      <c r="F20" s="2345">
        <f t="shared" si="3"/>
        <v>29760121.083333332</v>
      </c>
      <c r="G20" s="2345">
        <f t="shared" si="3"/>
        <v>29760121.083333332</v>
      </c>
      <c r="H20" s="2345">
        <f t="shared" si="3"/>
        <v>29760121.083333332</v>
      </c>
      <c r="I20" s="2345">
        <f t="shared" si="3"/>
        <v>29760121.083333332</v>
      </c>
      <c r="J20" s="2345">
        <f t="shared" si="3"/>
        <v>29760121.083333332</v>
      </c>
      <c r="K20" s="2345">
        <f t="shared" si="3"/>
        <v>29760121.083333332</v>
      </c>
      <c r="L20" s="2345">
        <f t="shared" si="3"/>
        <v>29760121.083333332</v>
      </c>
      <c r="M20" s="2345">
        <f t="shared" si="3"/>
        <v>29760121.083333332</v>
      </c>
      <c r="N20" s="2345">
        <f t="shared" si="3"/>
        <v>29760121.083333332</v>
      </c>
      <c r="O20" s="2447"/>
      <c r="P20" s="228"/>
      <c r="Q20" s="1402"/>
    </row>
    <row r="21" spans="1:17" x14ac:dyDescent="0.25">
      <c r="A21" s="42" t="s">
        <v>43</v>
      </c>
      <c r="B21" s="2344">
        <f>'6. sz.melléklet'!G132</f>
        <v>294039503</v>
      </c>
      <c r="C21" s="2345"/>
      <c r="D21" s="2345"/>
      <c r="E21" s="2345">
        <f>'6.a.sz. melléklet'!D13</f>
        <v>958215</v>
      </c>
      <c r="F21" s="2345">
        <f>SUM('6.a.sz. melléklet'!D10)</f>
        <v>1000000</v>
      </c>
      <c r="G21" s="2345">
        <f>SUM('6.a.sz. melléklet'!D11)*0.1+'6.a.sz. melléklet'!D9+'6.a.sz. melléklet'!D6+'6.a.sz. melléklet'!D17</f>
        <v>82568425</v>
      </c>
      <c r="H21" s="2345">
        <f>SUM('6.a.sz. melléklet'!D7+'6.a.sz. melléklet'!D12)</f>
        <v>128512863</v>
      </c>
      <c r="I21" s="2345">
        <f>SUM('6.a.sz. melléklet'!D11)+'6.a.sz. melléklet'!D14+'6.a.sz. melléklet'!D12+'6.a.sz. melléklet'!D9</f>
        <v>64000000</v>
      </c>
      <c r="J21" s="2345">
        <f>'6.a.sz. melléklet'!D18</f>
        <v>5000000</v>
      </c>
      <c r="K21" s="2345"/>
      <c r="L21" s="2345">
        <f>SUM('6.a.sz. melléklet'!D11)*0.2</f>
        <v>12000000</v>
      </c>
      <c r="M21" s="2345"/>
      <c r="N21" s="2355"/>
      <c r="O21" s="2447"/>
      <c r="P21" s="228"/>
      <c r="Q21" s="1402"/>
    </row>
    <row r="22" spans="1:17" x14ac:dyDescent="0.25">
      <c r="A22" s="42" t="s">
        <v>124</v>
      </c>
      <c r="B22" s="2344">
        <f>'6. sz.melléklet'!H132</f>
        <v>897562627</v>
      </c>
      <c r="C22" s="2345"/>
      <c r="D22" s="2345">
        <f>SUM('6.a.sz. melléklet'!H9)*0.1+'6.a.sz. melléklet'!H17/2+3065400</f>
        <v>3365400</v>
      </c>
      <c r="E22" s="2345"/>
      <c r="F22" s="2345"/>
      <c r="G22" s="2345">
        <v>40038000</v>
      </c>
      <c r="H22" s="2345">
        <f>3500000+6000000+2000000+4000000+6000000+500000</f>
        <v>22000000</v>
      </c>
      <c r="I22" s="2345">
        <v>27843000</v>
      </c>
      <c r="J22" s="2345">
        <f>SUM('6.a.sz. melléklet'!H10)+'6.a.sz. melléklet'!H9*0.1+'6.a.sz. melléklet'!H13+21000000+40000000</f>
        <v>65700000</v>
      </c>
      <c r="K22" s="2345">
        <f>30000000+4582700</f>
        <v>34582700</v>
      </c>
      <c r="L22" s="2345">
        <f>SUM('6.a.sz. melléklet'!H11)+'6.a.sz. melléklet'!H13*0.2</f>
        <v>6100000</v>
      </c>
      <c r="M22" s="2345">
        <f>'6.a.sz. melléklet'!H8+'6.a.sz. melléklet'!H20</f>
        <v>697933527</v>
      </c>
      <c r="N22" s="2345"/>
      <c r="O22" s="2447"/>
      <c r="P22" s="228"/>
      <c r="Q22" s="1402"/>
    </row>
    <row r="23" spans="1:17" x14ac:dyDescent="0.25">
      <c r="A23" s="42" t="s">
        <v>227</v>
      </c>
      <c r="B23" s="2344">
        <f>'6. sz.melléklet'!F132</f>
        <v>21848000</v>
      </c>
      <c r="C23" s="2345">
        <f>$B23/12</f>
        <v>1820666.6666666667</v>
      </c>
      <c r="D23" s="2345">
        <f t="shared" ref="D23:N23" si="4">$B23/12</f>
        <v>1820666.6666666667</v>
      </c>
      <c r="E23" s="2345">
        <f t="shared" si="4"/>
        <v>1820666.6666666667</v>
      </c>
      <c r="F23" s="2345">
        <f>$B23/12</f>
        <v>1820666.6666666667</v>
      </c>
      <c r="G23" s="2345">
        <f>$B23/12</f>
        <v>1820666.6666666667</v>
      </c>
      <c r="H23" s="2345">
        <f t="shared" si="4"/>
        <v>1820666.6666666667</v>
      </c>
      <c r="I23" s="2345">
        <f t="shared" si="4"/>
        <v>1820666.6666666667</v>
      </c>
      <c r="J23" s="2345">
        <f t="shared" si="4"/>
        <v>1820666.6666666667</v>
      </c>
      <c r="K23" s="2345">
        <f t="shared" si="4"/>
        <v>1820666.6666666667</v>
      </c>
      <c r="L23" s="2345">
        <f t="shared" si="4"/>
        <v>1820666.6666666667</v>
      </c>
      <c r="M23" s="2345">
        <f t="shared" si="4"/>
        <v>1820666.6666666667</v>
      </c>
      <c r="N23" s="2355">
        <f t="shared" si="4"/>
        <v>1820666.6666666667</v>
      </c>
      <c r="O23" s="2447"/>
      <c r="P23" s="228"/>
      <c r="Q23" s="1402"/>
    </row>
    <row r="24" spans="1:17" x14ac:dyDescent="0.25">
      <c r="A24" s="42" t="s">
        <v>318</v>
      </c>
      <c r="B24" s="2344">
        <f>'6. sz.melléklet'!J132</f>
        <v>6127431</v>
      </c>
      <c r="C24" s="2345"/>
      <c r="D24" s="2345"/>
      <c r="E24" s="2345"/>
      <c r="F24" s="2345">
        <f>SUM('6.b.sz.melléklet'!B34)</f>
        <v>6127431</v>
      </c>
      <c r="G24" s="2345"/>
      <c r="H24" s="2345">
        <f>SUM('6.b.sz.melléklet'!B38)</f>
        <v>0</v>
      </c>
      <c r="I24" s="2345"/>
      <c r="J24" s="2345"/>
      <c r="K24" s="2345"/>
      <c r="L24" s="2345"/>
      <c r="M24" s="2345"/>
      <c r="N24" s="2355"/>
      <c r="O24" s="2447"/>
      <c r="P24" s="228"/>
      <c r="Q24" s="1402"/>
    </row>
    <row r="25" spans="1:17" x14ac:dyDescent="0.25">
      <c r="A25" s="42" t="s">
        <v>44</v>
      </c>
      <c r="B25" s="2344">
        <f>'1.sz. melléklet'!B27+'1.sz. melléklet'!B28</f>
        <v>81132284</v>
      </c>
      <c r="C25" s="2345"/>
      <c r="D25" s="2345"/>
      <c r="E25" s="2345">
        <f>SUM('20.sz. melléklet'!F7)</f>
        <v>29545000</v>
      </c>
      <c r="F25" s="2345"/>
      <c r="G25" s="2345"/>
      <c r="H25" s="2345">
        <f>19935794-20000</f>
        <v>19915794</v>
      </c>
      <c r="I25" s="2345"/>
      <c r="J25" s="2345">
        <v>17354062</v>
      </c>
      <c r="K25" s="2345"/>
      <c r="L25" s="2345"/>
      <c r="M25" s="2345">
        <v>14317428</v>
      </c>
      <c r="N25" s="2355"/>
      <c r="O25" s="2447"/>
      <c r="P25" s="228"/>
      <c r="Q25" s="1402"/>
    </row>
    <row r="26" spans="1:17" ht="13.8" thickBot="1" x14ac:dyDescent="0.3">
      <c r="A26" s="50" t="s">
        <v>126</v>
      </c>
      <c r="B26" s="2356">
        <f>'6. sz.melléklet'!M132</f>
        <v>552696365</v>
      </c>
      <c r="C26" s="2357">
        <f>C40+C58+C76+C94</f>
        <v>37421916.666666664</v>
      </c>
      <c r="D26" s="2357">
        <f>D40+D58+D76+D94</f>
        <v>37221866.666666664</v>
      </c>
      <c r="E26" s="2357">
        <f>E40+E58+E76+E94</f>
        <v>37621866.666666664</v>
      </c>
      <c r="F26" s="2357">
        <f>F40+F58+F76+F94</f>
        <v>37221866.666666664</v>
      </c>
      <c r="G26" s="2357">
        <f t="shared" ref="G26:N26" si="5">G40+G58+G76+G94</f>
        <v>39223216.666666672</v>
      </c>
      <c r="H26" s="2357">
        <f t="shared" si="5"/>
        <v>37621916.666666664</v>
      </c>
      <c r="I26" s="2357">
        <f t="shared" si="5"/>
        <v>37422676.666666664</v>
      </c>
      <c r="J26" s="2357">
        <f t="shared" si="5"/>
        <v>37621366.666666664</v>
      </c>
      <c r="K26" s="2357">
        <f>K40+K58+K76+K94+50616683</f>
        <v>87838189.666666657</v>
      </c>
      <c r="L26" s="2357">
        <f>L40+L58+L76+L94+50616682</f>
        <v>88238148.666666657</v>
      </c>
      <c r="M26" s="2357">
        <f t="shared" si="5"/>
        <v>37621866.666666664</v>
      </c>
      <c r="N26" s="2357">
        <f t="shared" si="5"/>
        <v>37621466.666666664</v>
      </c>
      <c r="O26" s="2447"/>
      <c r="P26" s="228"/>
      <c r="Q26" s="1402"/>
    </row>
    <row r="27" spans="1:17" ht="13.8" thickBot="1" x14ac:dyDescent="0.3">
      <c r="A27" s="48" t="s">
        <v>45</v>
      </c>
      <c r="B27" s="2358">
        <f>SUM(B20:B26)</f>
        <v>2210527663</v>
      </c>
      <c r="C27" s="2359">
        <f>SUM(C20:C26)</f>
        <v>69002704.416666657</v>
      </c>
      <c r="D27" s="2359">
        <f>SUM(D20:D26)</f>
        <v>72168054.416666657</v>
      </c>
      <c r="E27" s="2359">
        <f t="shared" ref="E27:M27" si="6">SUM(E20:E26)</f>
        <v>99705869.416666657</v>
      </c>
      <c r="F27" s="2359">
        <f t="shared" si="6"/>
        <v>75930085.416666657</v>
      </c>
      <c r="G27" s="2359">
        <f t="shared" si="6"/>
        <v>193410429.41666663</v>
      </c>
      <c r="H27" s="2359">
        <f t="shared" si="6"/>
        <v>239631361.41666666</v>
      </c>
      <c r="I27" s="2359">
        <f t="shared" si="6"/>
        <v>160846464.41666666</v>
      </c>
      <c r="J27" s="2359">
        <f t="shared" si="6"/>
        <v>157256216.41666666</v>
      </c>
      <c r="K27" s="2359">
        <f t="shared" si="6"/>
        <v>154001677.41666666</v>
      </c>
      <c r="L27" s="2359">
        <f t="shared" si="6"/>
        <v>137918936.41666666</v>
      </c>
      <c r="M27" s="2359">
        <f t="shared" si="6"/>
        <v>781453609.41666663</v>
      </c>
      <c r="N27" s="2358">
        <f>SUM(N20:N26)</f>
        <v>69202254.416666657</v>
      </c>
      <c r="O27" s="2447"/>
      <c r="P27" s="228"/>
      <c r="Q27" s="1402"/>
    </row>
    <row r="28" spans="1:17" ht="13.8" thickBot="1" x14ac:dyDescent="0.3">
      <c r="A28" s="49"/>
      <c r="B28" s="2360"/>
      <c r="C28" s="2361"/>
      <c r="D28" s="2361"/>
      <c r="E28" s="2361"/>
      <c r="F28" s="2361"/>
      <c r="G28" s="2361"/>
      <c r="H28" s="2361"/>
      <c r="I28" s="2361"/>
      <c r="J28" s="2361"/>
      <c r="K28" s="2361"/>
      <c r="L28" s="2361"/>
      <c r="M28" s="2361"/>
      <c r="N28" s="2360"/>
      <c r="O28" s="2447"/>
      <c r="P28" s="228"/>
      <c r="Q28" s="1402"/>
    </row>
    <row r="29" spans="1:17" ht="13.8" thickBot="1" x14ac:dyDescent="0.3">
      <c r="A29" s="48" t="s">
        <v>46</v>
      </c>
      <c r="B29" s="2362">
        <f>B27-B16</f>
        <v>0</v>
      </c>
      <c r="C29" s="2363">
        <f>C16-C27</f>
        <v>87190481.00000003</v>
      </c>
      <c r="D29" s="2363">
        <f t="shared" ref="D29:N29" si="7">D16-D27</f>
        <v>5129578.0000000149</v>
      </c>
      <c r="E29" s="2363">
        <f t="shared" si="7"/>
        <v>29221388</v>
      </c>
      <c r="F29" s="2363">
        <f t="shared" si="7"/>
        <v>-443346.9999999851</v>
      </c>
      <c r="G29" s="2363">
        <f t="shared" si="7"/>
        <v>-30614243.99999994</v>
      </c>
      <c r="H29" s="2363">
        <f t="shared" si="7"/>
        <v>-8836622.9999999702</v>
      </c>
      <c r="I29" s="2363">
        <f t="shared" si="7"/>
        <v>75689168.00000003</v>
      </c>
      <c r="J29" s="2363">
        <f t="shared" si="7"/>
        <v>-90665030.999999985</v>
      </c>
      <c r="K29" s="2363">
        <f t="shared" si="7"/>
        <v>-2423489</v>
      </c>
      <c r="L29" s="2363">
        <f t="shared" si="7"/>
        <v>23448783.00000003</v>
      </c>
      <c r="M29" s="2363">
        <f t="shared" si="7"/>
        <v>-115378959</v>
      </c>
      <c r="N29" s="2362">
        <f t="shared" si="7"/>
        <v>27682295</v>
      </c>
      <c r="O29" s="2447"/>
      <c r="P29" s="228"/>
      <c r="Q29" s="1402"/>
    </row>
    <row r="30" spans="1:17" x14ac:dyDescent="0.25">
      <c r="A30" s="145"/>
      <c r="B30" s="1402"/>
      <c r="C30" s="1402"/>
      <c r="D30" s="1402"/>
      <c r="E30" s="1402"/>
      <c r="F30" s="1402"/>
      <c r="G30" s="1402"/>
      <c r="H30" s="1402"/>
      <c r="I30" s="1402"/>
      <c r="J30" s="1402"/>
      <c r="K30" s="1402"/>
      <c r="L30" s="1402"/>
      <c r="M30" s="1402"/>
      <c r="N30" s="2364"/>
      <c r="O30" s="2447"/>
      <c r="P30" s="228"/>
      <c r="Q30" s="1402"/>
    </row>
    <row r="31" spans="1:17" s="207" customFormat="1" x14ac:dyDescent="0.25">
      <c r="A31" s="206" t="s">
        <v>74</v>
      </c>
      <c r="B31" s="2365"/>
      <c r="C31" s="2365">
        <f>C16-C27</f>
        <v>87190481.00000003</v>
      </c>
      <c r="D31" s="2365">
        <f>C31+D16-D27</f>
        <v>92320059.00000003</v>
      </c>
      <c r="E31" s="2365">
        <f>D31+E16-E27</f>
        <v>121541447.00000003</v>
      </c>
      <c r="F31" s="2365">
        <f>E31+F16-F27</f>
        <v>121098100.00000003</v>
      </c>
      <c r="G31" s="2365">
        <f>F31+G16-G27</f>
        <v>90483856.000000119</v>
      </c>
      <c r="H31" s="2365">
        <f t="shared" ref="H31:N31" si="8">G31+H16-H27</f>
        <v>81647233.000000149</v>
      </c>
      <c r="I31" s="2365">
        <f t="shared" si="8"/>
        <v>157336401.00000021</v>
      </c>
      <c r="J31" s="2365">
        <f t="shared" si="8"/>
        <v>66671370.000000209</v>
      </c>
      <c r="K31" s="2365">
        <f t="shared" si="8"/>
        <v>64247881.000000209</v>
      </c>
      <c r="L31" s="2365">
        <f t="shared" si="8"/>
        <v>87696664.000000238</v>
      </c>
      <c r="M31" s="2365">
        <f t="shared" si="8"/>
        <v>-27682294.999999762</v>
      </c>
      <c r="N31" s="2441">
        <f t="shared" si="8"/>
        <v>2.384185791015625E-7</v>
      </c>
      <c r="O31" s="2447"/>
      <c r="P31" s="228"/>
      <c r="Q31" s="1402"/>
    </row>
    <row r="32" spans="1:17" ht="8.25" customHeight="1" x14ac:dyDescent="0.25">
      <c r="A32" s="145"/>
      <c r="B32" s="1402"/>
      <c r="C32" s="1402"/>
      <c r="D32" s="1402"/>
      <c r="E32" s="1402"/>
      <c r="F32" s="1402"/>
      <c r="G32" s="1402"/>
      <c r="H32" s="1402"/>
      <c r="I32" s="1402"/>
      <c r="J32" s="1402"/>
      <c r="K32" s="1402"/>
      <c r="L32" s="1402"/>
      <c r="M32" s="1402"/>
      <c r="N32" s="2364"/>
      <c r="O32" s="2447"/>
      <c r="P32" s="228"/>
    </row>
    <row r="33" spans="1:16" hidden="1" x14ac:dyDescent="0.25">
      <c r="A33" s="145"/>
      <c r="B33" s="228"/>
      <c r="C33" s="228"/>
      <c r="D33" s="228"/>
      <c r="E33" s="228"/>
      <c r="F33" s="228"/>
      <c r="G33" s="228"/>
      <c r="H33" s="228"/>
      <c r="I33" s="228"/>
      <c r="J33" s="228"/>
      <c r="K33" s="228"/>
      <c r="L33" s="228"/>
      <c r="M33" s="228"/>
      <c r="N33" s="238"/>
      <c r="O33" s="2447"/>
    </row>
    <row r="34" spans="1:16" ht="13.8" thickBot="1" x14ac:dyDescent="0.3">
      <c r="A34" s="196" t="s">
        <v>30</v>
      </c>
      <c r="B34" s="197"/>
      <c r="C34" s="198"/>
      <c r="D34" s="198"/>
      <c r="E34" s="198"/>
      <c r="F34" s="197"/>
      <c r="G34" s="199"/>
      <c r="H34" s="199"/>
      <c r="I34" s="200"/>
      <c r="J34" s="201"/>
      <c r="K34" s="201" t="s">
        <v>515</v>
      </c>
      <c r="L34" s="202"/>
      <c r="M34" s="201"/>
      <c r="N34" s="203"/>
      <c r="O34" s="2447"/>
    </row>
    <row r="35" spans="1:16" x14ac:dyDescent="0.25">
      <c r="A35" s="32" t="s">
        <v>32</v>
      </c>
      <c r="B35" s="35" t="s">
        <v>0</v>
      </c>
      <c r="C35" s="33" t="s">
        <v>33</v>
      </c>
      <c r="D35" s="33" t="s">
        <v>34</v>
      </c>
      <c r="E35" s="33" t="s">
        <v>35</v>
      </c>
      <c r="F35" s="33" t="s">
        <v>36</v>
      </c>
      <c r="G35" s="33" t="s">
        <v>37</v>
      </c>
      <c r="H35" s="33" t="s">
        <v>38</v>
      </c>
      <c r="I35" s="33" t="s">
        <v>39</v>
      </c>
      <c r="J35" s="33" t="s">
        <v>47</v>
      </c>
      <c r="K35" s="34" t="s">
        <v>48</v>
      </c>
      <c r="L35" s="33" t="s">
        <v>49</v>
      </c>
      <c r="M35" s="33" t="s">
        <v>50</v>
      </c>
      <c r="N35" s="35" t="s">
        <v>51</v>
      </c>
      <c r="O35" s="2447"/>
    </row>
    <row r="36" spans="1:16" ht="13.2" thickBot="1" x14ac:dyDescent="0.3">
      <c r="A36" s="36" t="s">
        <v>40</v>
      </c>
      <c r="B36" s="38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8"/>
      <c r="O36" s="2447"/>
    </row>
    <row r="37" spans="1:16" ht="8.25" customHeight="1" x14ac:dyDescent="0.25">
      <c r="A37" s="39"/>
      <c r="B37" s="41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1"/>
      <c r="O37" s="2447"/>
    </row>
    <row r="38" spans="1:16" x14ac:dyDescent="0.25">
      <c r="A38" s="2444" t="s">
        <v>182</v>
      </c>
      <c r="B38" s="2445">
        <f>'13.sz.melléklet'!C38</f>
        <v>0</v>
      </c>
      <c r="C38" s="2442"/>
      <c r="D38" s="2442"/>
      <c r="E38" s="2442"/>
      <c r="F38" s="2442"/>
      <c r="G38" s="2442"/>
      <c r="H38" s="2442"/>
      <c r="I38" s="2442"/>
      <c r="J38" s="2442"/>
      <c r="K38" s="2442"/>
      <c r="L38" s="2442"/>
      <c r="M38" s="2442"/>
      <c r="N38" s="2442"/>
      <c r="O38" s="2447"/>
      <c r="P38" s="228"/>
    </row>
    <row r="39" spans="1:16" x14ac:dyDescent="0.25">
      <c r="A39" s="42" t="s">
        <v>298</v>
      </c>
      <c r="B39" s="2344">
        <f>'13.sz.melléklet'!D38</f>
        <v>10180000</v>
      </c>
      <c r="C39" s="2345">
        <f>$B$39/12</f>
        <v>848333.33333333337</v>
      </c>
      <c r="D39" s="2345">
        <f t="shared" ref="D39:N39" si="9">$B$39/12</f>
        <v>848333.33333333337</v>
      </c>
      <c r="E39" s="2345">
        <f t="shared" si="9"/>
        <v>848333.33333333337</v>
      </c>
      <c r="F39" s="2345">
        <f t="shared" si="9"/>
        <v>848333.33333333337</v>
      </c>
      <c r="G39" s="2345">
        <f t="shared" si="9"/>
        <v>848333.33333333337</v>
      </c>
      <c r="H39" s="2345">
        <f t="shared" si="9"/>
        <v>848333.33333333337</v>
      </c>
      <c r="I39" s="2345">
        <f t="shared" si="9"/>
        <v>848333.33333333337</v>
      </c>
      <c r="J39" s="2345">
        <f t="shared" si="9"/>
        <v>848333.33333333337</v>
      </c>
      <c r="K39" s="2345">
        <f t="shared" si="9"/>
        <v>848333.33333333337</v>
      </c>
      <c r="L39" s="2345">
        <f t="shared" si="9"/>
        <v>848333.33333333337</v>
      </c>
      <c r="M39" s="2345">
        <f t="shared" si="9"/>
        <v>848333.33333333337</v>
      </c>
      <c r="N39" s="2355">
        <f t="shared" si="9"/>
        <v>848333.33333333337</v>
      </c>
      <c r="O39" s="2447"/>
      <c r="P39" s="228"/>
    </row>
    <row r="40" spans="1:16" x14ac:dyDescent="0.25">
      <c r="A40" s="42" t="s">
        <v>302</v>
      </c>
      <c r="B40" s="2346">
        <f>'13.sz.melléklet'!E38</f>
        <v>128943000</v>
      </c>
      <c r="C40" s="2347">
        <f>$B$40/12</f>
        <v>10745250</v>
      </c>
      <c r="D40" s="2347">
        <f t="shared" ref="D40:N40" si="10">$B$40/12</f>
        <v>10745250</v>
      </c>
      <c r="E40" s="2347">
        <f t="shared" si="10"/>
        <v>10745250</v>
      </c>
      <c r="F40" s="2347">
        <f t="shared" si="10"/>
        <v>10745250</v>
      </c>
      <c r="G40" s="2347">
        <f t="shared" si="10"/>
        <v>10745250</v>
      </c>
      <c r="H40" s="2347">
        <f t="shared" si="10"/>
        <v>10745250</v>
      </c>
      <c r="I40" s="2347">
        <f t="shared" si="10"/>
        <v>10745250</v>
      </c>
      <c r="J40" s="2347">
        <f t="shared" si="10"/>
        <v>10745250</v>
      </c>
      <c r="K40" s="2347">
        <f t="shared" si="10"/>
        <v>10745250</v>
      </c>
      <c r="L40" s="2347">
        <f t="shared" si="10"/>
        <v>10745250</v>
      </c>
      <c r="M40" s="2347">
        <f t="shared" si="10"/>
        <v>10745250</v>
      </c>
      <c r="N40" s="2347">
        <f t="shared" si="10"/>
        <v>10745250</v>
      </c>
      <c r="O40" s="2447"/>
      <c r="P40" s="228"/>
    </row>
    <row r="41" spans="1:16" ht="13.8" thickBot="1" x14ac:dyDescent="0.3">
      <c r="A41" s="43"/>
      <c r="B41" s="2440"/>
      <c r="C41" s="2350"/>
      <c r="D41" s="2350"/>
      <c r="E41" s="2350"/>
      <c r="F41" s="2350"/>
      <c r="G41" s="2350"/>
      <c r="H41" s="2350"/>
      <c r="I41" s="2350"/>
      <c r="J41" s="2350"/>
      <c r="K41" s="2350"/>
      <c r="L41" s="2350"/>
      <c r="M41" s="2350"/>
      <c r="N41" s="2440"/>
      <c r="O41" s="2447"/>
      <c r="P41" s="228"/>
    </row>
    <row r="42" spans="1:16" ht="13.8" thickBot="1" x14ac:dyDescent="0.3">
      <c r="A42" s="44" t="s">
        <v>19</v>
      </c>
      <c r="B42" s="2351">
        <f>SUM(B38:B41)</f>
        <v>139123000</v>
      </c>
      <c r="C42" s="2352">
        <f>SUM(C38:C41)</f>
        <v>11593583.333333334</v>
      </c>
      <c r="D42" s="2352">
        <f t="shared" ref="D42:N42" si="11">SUM(D38:D41)</f>
        <v>11593583.333333334</v>
      </c>
      <c r="E42" s="2352">
        <f t="shared" si="11"/>
        <v>11593583.333333334</v>
      </c>
      <c r="F42" s="2352">
        <f t="shared" si="11"/>
        <v>11593583.333333334</v>
      </c>
      <c r="G42" s="2352">
        <f t="shared" si="11"/>
        <v>11593583.333333334</v>
      </c>
      <c r="H42" s="2352">
        <f t="shared" si="11"/>
        <v>11593583.333333334</v>
      </c>
      <c r="I42" s="2352">
        <f t="shared" si="11"/>
        <v>11593583.333333334</v>
      </c>
      <c r="J42" s="2352">
        <f t="shared" si="11"/>
        <v>11593583.333333334</v>
      </c>
      <c r="K42" s="2352">
        <f t="shared" si="11"/>
        <v>11593583.333333334</v>
      </c>
      <c r="L42" s="2352">
        <f t="shared" si="11"/>
        <v>11593583.333333334</v>
      </c>
      <c r="M42" s="2352">
        <f t="shared" si="11"/>
        <v>11593583.333333334</v>
      </c>
      <c r="N42" s="2352">
        <f t="shared" si="11"/>
        <v>11593583.333333334</v>
      </c>
      <c r="O42" s="2447"/>
      <c r="P42" s="228"/>
    </row>
    <row r="43" spans="1:16" ht="6" customHeight="1" x14ac:dyDescent="0.25">
      <c r="A43" s="45"/>
      <c r="B43" s="2353"/>
      <c r="C43" s="2354"/>
      <c r="D43" s="2354"/>
      <c r="E43" s="2354"/>
      <c r="F43" s="2354"/>
      <c r="G43" s="2354"/>
      <c r="H43" s="2354"/>
      <c r="I43" s="2354"/>
      <c r="J43" s="2354"/>
      <c r="K43" s="2354"/>
      <c r="L43" s="2354"/>
      <c r="M43" s="2354"/>
      <c r="N43" s="2353"/>
      <c r="O43" s="2447"/>
      <c r="P43" s="228"/>
    </row>
    <row r="44" spans="1:16" ht="13.2" x14ac:dyDescent="0.25">
      <c r="A44" s="46" t="s">
        <v>41</v>
      </c>
      <c r="B44" s="2355"/>
      <c r="C44" s="2345"/>
      <c r="D44" s="2345"/>
      <c r="E44" s="2345"/>
      <c r="F44" s="2345"/>
      <c r="G44" s="2345"/>
      <c r="H44" s="2345"/>
      <c r="I44" s="2345"/>
      <c r="J44" s="2345"/>
      <c r="K44" s="2345"/>
      <c r="L44" s="2345"/>
      <c r="M44" s="2345"/>
      <c r="N44" s="2355"/>
      <c r="O44" s="2447"/>
      <c r="P44" s="228"/>
    </row>
    <row r="45" spans="1:16" ht="13.2" x14ac:dyDescent="0.25">
      <c r="A45" s="46"/>
      <c r="B45" s="2355"/>
      <c r="C45" s="2345"/>
      <c r="D45" s="2345"/>
      <c r="E45" s="2345"/>
      <c r="F45" s="2345"/>
      <c r="G45" s="2345"/>
      <c r="H45" s="2345"/>
      <c r="I45" s="2345"/>
      <c r="J45" s="2345"/>
      <c r="K45" s="2345"/>
      <c r="L45" s="2345"/>
      <c r="M45" s="2345"/>
      <c r="N45" s="2355"/>
      <c r="O45" s="2447"/>
      <c r="P45" s="228"/>
    </row>
    <row r="46" spans="1:16" ht="13.2" x14ac:dyDescent="0.25">
      <c r="A46" s="47" t="s">
        <v>124</v>
      </c>
      <c r="B46" s="2344">
        <f>SUM('1.sz. melléklet'!E23)</f>
        <v>3749000</v>
      </c>
      <c r="C46" s="2345"/>
      <c r="D46" s="2345">
        <f>SUM('13.a.sz. melléklet'!I6)/10</f>
        <v>50000</v>
      </c>
      <c r="E46" s="2345">
        <f>SUM('13.a.sz. melléklet'!I6)/10</f>
        <v>50000</v>
      </c>
      <c r="F46" s="2345">
        <f>SUM(E46+'13.a.sz. melléklet'!I8)</f>
        <v>850000</v>
      </c>
      <c r="G46" s="2345"/>
      <c r="H46" s="2345">
        <v>2422333</v>
      </c>
      <c r="I46" s="2345">
        <f>SUM(E46)</f>
        <v>50000</v>
      </c>
      <c r="J46" s="2345">
        <f>SUM(I46)</f>
        <v>50000</v>
      </c>
      <c r="K46" s="2345">
        <f t="shared" ref="K46" si="12">SUM(J46)</f>
        <v>50000</v>
      </c>
      <c r="L46" s="2345">
        <f>SUM(K46)</f>
        <v>50000</v>
      </c>
      <c r="M46" s="2345">
        <f>SUM(L46)+50000</f>
        <v>100000</v>
      </c>
      <c r="N46" s="2345">
        <f>SUM(M46)-23333</f>
        <v>76667</v>
      </c>
      <c r="O46" s="2447"/>
      <c r="P46" s="228"/>
    </row>
    <row r="47" spans="1:16" ht="13.2" thickBot="1" x14ac:dyDescent="0.3">
      <c r="A47" s="42" t="s">
        <v>42</v>
      </c>
      <c r="B47" s="2344">
        <f>B42-B46</f>
        <v>135374000</v>
      </c>
      <c r="C47" s="2345">
        <f>$B$47/12+405</f>
        <v>11281571.666666666</v>
      </c>
      <c r="D47" s="2345">
        <f t="shared" ref="D47:M47" si="13">$B$47/12+405</f>
        <v>11281571.666666666</v>
      </c>
      <c r="E47" s="2345">
        <f t="shared" si="13"/>
        <v>11281571.666666666</v>
      </c>
      <c r="F47" s="2345">
        <f t="shared" si="13"/>
        <v>11281571.666666666</v>
      </c>
      <c r="G47" s="2345">
        <f t="shared" si="13"/>
        <v>11281571.666666666</v>
      </c>
      <c r="H47" s="2345">
        <f t="shared" si="13"/>
        <v>11281571.666666666</v>
      </c>
      <c r="I47" s="2345">
        <f t="shared" si="13"/>
        <v>11281571.666666666</v>
      </c>
      <c r="J47" s="2345">
        <f t="shared" si="13"/>
        <v>11281571.666666666</v>
      </c>
      <c r="K47" s="2345">
        <f t="shared" si="13"/>
        <v>11281571.666666666</v>
      </c>
      <c r="L47" s="2345">
        <f t="shared" si="13"/>
        <v>11281571.666666666</v>
      </c>
      <c r="M47" s="2345">
        <f t="shared" si="13"/>
        <v>11281571.666666666</v>
      </c>
      <c r="N47" s="2345">
        <f>$B$47/12+405-4860</f>
        <v>11276711.666666666</v>
      </c>
      <c r="O47" s="2447"/>
      <c r="P47" s="228"/>
    </row>
    <row r="48" spans="1:16" ht="13.8" thickBot="1" x14ac:dyDescent="0.3">
      <c r="A48" s="48" t="s">
        <v>45</v>
      </c>
      <c r="B48" s="2358">
        <f>SUM(B46:B47)</f>
        <v>139123000</v>
      </c>
      <c r="C48" s="2359">
        <f>SUM(C46:C47)</f>
        <v>11281571.666666666</v>
      </c>
      <c r="D48" s="2359">
        <f t="shared" ref="D48:N48" si="14">SUM(D46:D47)</f>
        <v>11331571.666666666</v>
      </c>
      <c r="E48" s="2359">
        <f t="shared" si="14"/>
        <v>11331571.666666666</v>
      </c>
      <c r="F48" s="2359">
        <f t="shared" si="14"/>
        <v>12131571.666666666</v>
      </c>
      <c r="G48" s="2359">
        <f t="shared" si="14"/>
        <v>11281571.666666666</v>
      </c>
      <c r="H48" s="2359">
        <f t="shared" si="14"/>
        <v>13703904.666666666</v>
      </c>
      <c r="I48" s="2359">
        <f t="shared" si="14"/>
        <v>11331571.666666666</v>
      </c>
      <c r="J48" s="2359">
        <f t="shared" si="14"/>
        <v>11331571.666666666</v>
      </c>
      <c r="K48" s="2359">
        <f t="shared" si="14"/>
        <v>11331571.666666666</v>
      </c>
      <c r="L48" s="2359">
        <f t="shared" si="14"/>
        <v>11331571.666666666</v>
      </c>
      <c r="M48" s="2359">
        <f t="shared" si="14"/>
        <v>11381571.666666666</v>
      </c>
      <c r="N48" s="2359">
        <f t="shared" si="14"/>
        <v>11353378.666666666</v>
      </c>
      <c r="O48" s="2447"/>
      <c r="P48" s="228"/>
    </row>
    <row r="49" spans="1:16" ht="13.8" thickBot="1" x14ac:dyDescent="0.3">
      <c r="A49" s="49"/>
      <c r="B49" s="2360"/>
      <c r="C49" s="2361"/>
      <c r="D49" s="2361"/>
      <c r="E49" s="2361"/>
      <c r="F49" s="2361"/>
      <c r="G49" s="2361"/>
      <c r="H49" s="2361"/>
      <c r="I49" s="2361"/>
      <c r="J49" s="2361"/>
      <c r="K49" s="2361"/>
      <c r="L49" s="2361"/>
      <c r="M49" s="2361"/>
      <c r="N49" s="2360"/>
      <c r="O49" s="2447"/>
      <c r="P49" s="228"/>
    </row>
    <row r="50" spans="1:16" ht="13.8" thickBot="1" x14ac:dyDescent="0.3">
      <c r="A50" s="48" t="s">
        <v>46</v>
      </c>
      <c r="B50" s="2362">
        <f>B48-B42</f>
        <v>0</v>
      </c>
      <c r="C50" s="2363">
        <f t="shared" ref="C50:N50" si="15">C42-C48</f>
        <v>312011.66666666791</v>
      </c>
      <c r="D50" s="2363">
        <f t="shared" si="15"/>
        <v>262011.66666666791</v>
      </c>
      <c r="E50" s="2363">
        <f t="shared" si="15"/>
        <v>262011.66666666791</v>
      </c>
      <c r="F50" s="2363">
        <f t="shared" si="15"/>
        <v>-537988.33333333209</v>
      </c>
      <c r="G50" s="2363">
        <f t="shared" si="15"/>
        <v>312011.66666666791</v>
      </c>
      <c r="H50" s="2363">
        <f t="shared" si="15"/>
        <v>-2110321.3333333321</v>
      </c>
      <c r="I50" s="2363">
        <f t="shared" si="15"/>
        <v>262011.66666666791</v>
      </c>
      <c r="J50" s="2363">
        <f t="shared" si="15"/>
        <v>262011.66666666791</v>
      </c>
      <c r="K50" s="2363">
        <f t="shared" si="15"/>
        <v>262011.66666666791</v>
      </c>
      <c r="L50" s="2363">
        <f t="shared" si="15"/>
        <v>262011.66666666791</v>
      </c>
      <c r="M50" s="2363">
        <f t="shared" si="15"/>
        <v>212011.66666666791</v>
      </c>
      <c r="N50" s="2362">
        <f t="shared" si="15"/>
        <v>240204.66666666791</v>
      </c>
      <c r="O50" s="2447"/>
      <c r="P50" s="228"/>
    </row>
    <row r="51" spans="1:16" x14ac:dyDescent="0.25">
      <c r="A51" s="145" t="s">
        <v>74</v>
      </c>
      <c r="B51" s="228"/>
      <c r="C51" s="1402">
        <f>C42-C48</f>
        <v>312011.66666666791</v>
      </c>
      <c r="D51" s="1402">
        <f t="shared" ref="D51:N51" si="16">C51+D42-D48</f>
        <v>574023.33333333582</v>
      </c>
      <c r="E51" s="1402">
        <f t="shared" si="16"/>
        <v>836035.00000000373</v>
      </c>
      <c r="F51" s="1402">
        <f t="shared" si="16"/>
        <v>298046.66666667163</v>
      </c>
      <c r="G51" s="1402">
        <f t="shared" si="16"/>
        <v>610058.33333333954</v>
      </c>
      <c r="H51" s="1402">
        <f t="shared" si="16"/>
        <v>-1500262.9999999925</v>
      </c>
      <c r="I51" s="1402">
        <f t="shared" si="16"/>
        <v>-1238251.3333333246</v>
      </c>
      <c r="J51" s="1402">
        <f t="shared" si="16"/>
        <v>-976239.66666665673</v>
      </c>
      <c r="K51" s="1402">
        <f t="shared" si="16"/>
        <v>-714227.99999998882</v>
      </c>
      <c r="L51" s="1402">
        <f t="shared" si="16"/>
        <v>-452216.33333332092</v>
      </c>
      <c r="M51" s="1402">
        <f t="shared" si="16"/>
        <v>-240204.66666665301</v>
      </c>
      <c r="N51" s="2364">
        <f t="shared" si="16"/>
        <v>1.4901161193847656E-8</v>
      </c>
      <c r="O51" s="2447"/>
      <c r="P51" s="228"/>
    </row>
    <row r="52" spans="1:16" x14ac:dyDescent="0.25">
      <c r="A52" s="145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38"/>
      <c r="O52" s="2447"/>
      <c r="P52" s="228"/>
    </row>
    <row r="53" spans="1:16" ht="13.8" thickBot="1" x14ac:dyDescent="0.3">
      <c r="A53" s="196" t="s">
        <v>56</v>
      </c>
      <c r="B53" s="197"/>
      <c r="C53" s="198"/>
      <c r="D53" s="198"/>
      <c r="E53" s="198"/>
      <c r="F53" s="197"/>
      <c r="G53" s="199"/>
      <c r="H53" s="199"/>
      <c r="I53" s="200"/>
      <c r="J53" s="201"/>
      <c r="K53" s="201" t="s">
        <v>515</v>
      </c>
      <c r="L53" s="202"/>
      <c r="M53" s="201"/>
      <c r="N53" s="203"/>
      <c r="O53" s="2447"/>
      <c r="P53" s="228"/>
    </row>
    <row r="54" spans="1:16" x14ac:dyDescent="0.25">
      <c r="A54" s="32" t="s">
        <v>32</v>
      </c>
      <c r="B54" s="35" t="s">
        <v>0</v>
      </c>
      <c r="C54" s="33" t="s">
        <v>33</v>
      </c>
      <c r="D54" s="33" t="s">
        <v>34</v>
      </c>
      <c r="E54" s="33" t="s">
        <v>35</v>
      </c>
      <c r="F54" s="33" t="s">
        <v>36</v>
      </c>
      <c r="G54" s="33" t="s">
        <v>37</v>
      </c>
      <c r="H54" s="33" t="s">
        <v>38</v>
      </c>
      <c r="I54" s="33" t="s">
        <v>39</v>
      </c>
      <c r="J54" s="33" t="s">
        <v>47</v>
      </c>
      <c r="K54" s="34" t="s">
        <v>48</v>
      </c>
      <c r="L54" s="33" t="s">
        <v>49</v>
      </c>
      <c r="M54" s="33" t="s">
        <v>50</v>
      </c>
      <c r="N54" s="35" t="s">
        <v>51</v>
      </c>
      <c r="O54" s="2447"/>
      <c r="P54" s="228"/>
    </row>
    <row r="55" spans="1:16" ht="13.2" thickBot="1" x14ac:dyDescent="0.3">
      <c r="A55" s="36" t="s">
        <v>40</v>
      </c>
      <c r="B55" s="38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8"/>
      <c r="O55" s="2447"/>
      <c r="P55" s="228"/>
    </row>
    <row r="56" spans="1:16" ht="7.5" customHeight="1" x14ac:dyDescent="0.25">
      <c r="A56" s="39"/>
      <c r="B56" s="41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1"/>
      <c r="O56" s="2447"/>
      <c r="P56" s="228"/>
    </row>
    <row r="57" spans="1:16" x14ac:dyDescent="0.25">
      <c r="A57" s="42" t="s">
        <v>298</v>
      </c>
      <c r="B57" s="2344">
        <f>'14.sz.melléklet'!C46</f>
        <v>2898000</v>
      </c>
      <c r="C57" s="2345">
        <f>$B57/12</f>
        <v>241500</v>
      </c>
      <c r="D57" s="2345">
        <f t="shared" ref="D57:N57" si="17">$B57/12</f>
        <v>241500</v>
      </c>
      <c r="E57" s="2345">
        <f t="shared" si="17"/>
        <v>241500</v>
      </c>
      <c r="F57" s="2345">
        <f t="shared" si="17"/>
        <v>241500</v>
      </c>
      <c r="G57" s="2345">
        <f t="shared" si="17"/>
        <v>241500</v>
      </c>
      <c r="H57" s="2345">
        <f t="shared" si="17"/>
        <v>241500</v>
      </c>
      <c r="I57" s="2345">
        <f t="shared" si="17"/>
        <v>241500</v>
      </c>
      <c r="J57" s="2345">
        <f t="shared" si="17"/>
        <v>241500</v>
      </c>
      <c r="K57" s="2345">
        <f t="shared" si="17"/>
        <v>241500</v>
      </c>
      <c r="L57" s="2345">
        <f t="shared" si="17"/>
        <v>241500</v>
      </c>
      <c r="M57" s="2345">
        <f t="shared" si="17"/>
        <v>241500</v>
      </c>
      <c r="N57" s="2355">
        <f t="shared" si="17"/>
        <v>241500</v>
      </c>
      <c r="O57" s="2447"/>
      <c r="P57" s="228"/>
    </row>
    <row r="58" spans="1:16" x14ac:dyDescent="0.25">
      <c r="A58" s="42" t="s">
        <v>302</v>
      </c>
      <c r="B58" s="2346">
        <f>'14.sz.melléklet'!G30</f>
        <v>198255000</v>
      </c>
      <c r="C58" s="2347">
        <f>($B$58/12)-200000</f>
        <v>16321250</v>
      </c>
      <c r="D58" s="2347">
        <f>($B$58/12)-50-400000</f>
        <v>16121200</v>
      </c>
      <c r="E58" s="2347">
        <f t="shared" ref="E58:N58" si="18">($B$58/12)-50</f>
        <v>16521200</v>
      </c>
      <c r="F58" s="2347">
        <f>($B$58/12)-50-400000</f>
        <v>16121200</v>
      </c>
      <c r="G58" s="2347">
        <f>($B$58/12)+1600000</f>
        <v>18121250</v>
      </c>
      <c r="H58" s="2347">
        <f>($B$58/12)</f>
        <v>16521250</v>
      </c>
      <c r="I58" s="2347">
        <f>($B$58/12)-40+800-200000</f>
        <v>16322010</v>
      </c>
      <c r="J58" s="2347">
        <f t="shared" si="18"/>
        <v>16521200</v>
      </c>
      <c r="K58" s="2347">
        <f>($B$58/12)-400000-410</f>
        <v>16120840</v>
      </c>
      <c r="L58" s="2347">
        <f t="shared" si="18"/>
        <v>16521200</v>
      </c>
      <c r="M58" s="2347">
        <f t="shared" si="18"/>
        <v>16521200</v>
      </c>
      <c r="N58" s="2347">
        <f t="shared" si="18"/>
        <v>16521200</v>
      </c>
      <c r="O58" s="2447"/>
      <c r="P58" s="228"/>
    </row>
    <row r="59" spans="1:16" ht="13.8" thickBot="1" x14ac:dyDescent="0.3">
      <c r="A59" s="43"/>
      <c r="B59" s="2440"/>
      <c r="C59" s="2350"/>
      <c r="D59" s="2350"/>
      <c r="E59" s="2350"/>
      <c r="F59" s="2350"/>
      <c r="G59" s="2350"/>
      <c r="H59" s="2350"/>
      <c r="I59" s="2350"/>
      <c r="J59" s="2350"/>
      <c r="K59" s="2350"/>
      <c r="L59" s="2350"/>
      <c r="M59" s="2350"/>
      <c r="N59" s="2440"/>
      <c r="O59" s="2447"/>
      <c r="P59" s="228"/>
    </row>
    <row r="60" spans="1:16" ht="13.8" thickBot="1" x14ac:dyDescent="0.3">
      <c r="A60" s="44" t="s">
        <v>19</v>
      </c>
      <c r="B60" s="2351">
        <f t="shared" ref="B60:N60" si="19">SUM(B57:B59)</f>
        <v>201153000</v>
      </c>
      <c r="C60" s="2352">
        <f>SUM(C57:C59)</f>
        <v>16562750</v>
      </c>
      <c r="D60" s="2352">
        <f t="shared" si="19"/>
        <v>16362700</v>
      </c>
      <c r="E60" s="2352">
        <f t="shared" si="19"/>
        <v>16762700</v>
      </c>
      <c r="F60" s="2352">
        <f t="shared" si="19"/>
        <v>16362700</v>
      </c>
      <c r="G60" s="2352">
        <f t="shared" si="19"/>
        <v>18362750</v>
      </c>
      <c r="H60" s="2352">
        <f t="shared" si="19"/>
        <v>16762750</v>
      </c>
      <c r="I60" s="2352">
        <f t="shared" si="19"/>
        <v>16563510</v>
      </c>
      <c r="J60" s="2352">
        <f t="shared" si="19"/>
        <v>16762700</v>
      </c>
      <c r="K60" s="2352">
        <f t="shared" si="19"/>
        <v>16362340</v>
      </c>
      <c r="L60" s="2352">
        <f t="shared" si="19"/>
        <v>16762700</v>
      </c>
      <c r="M60" s="2352">
        <f t="shared" si="19"/>
        <v>16762700</v>
      </c>
      <c r="N60" s="2351">
        <f t="shared" si="19"/>
        <v>16762700</v>
      </c>
      <c r="O60" s="2447"/>
      <c r="P60" s="228"/>
    </row>
    <row r="61" spans="1:16" ht="13.2" x14ac:dyDescent="0.25">
      <c r="A61" s="45"/>
      <c r="B61" s="2353"/>
      <c r="C61" s="2354"/>
      <c r="D61" s="2354"/>
      <c r="E61" s="2354"/>
      <c r="F61" s="2354"/>
      <c r="G61" s="2354"/>
      <c r="H61" s="2354"/>
      <c r="I61" s="2354"/>
      <c r="J61" s="2354"/>
      <c r="K61" s="2354"/>
      <c r="L61" s="2354"/>
      <c r="M61" s="2354"/>
      <c r="N61" s="2353"/>
      <c r="O61" s="2447"/>
      <c r="P61" s="228"/>
    </row>
    <row r="62" spans="1:16" ht="13.2" x14ac:dyDescent="0.25">
      <c r="A62" s="46" t="s">
        <v>41</v>
      </c>
      <c r="B62" s="2355"/>
      <c r="C62" s="2345"/>
      <c r="D62" s="2345"/>
      <c r="E62" s="2345"/>
      <c r="F62" s="2345"/>
      <c r="G62" s="2345"/>
      <c r="H62" s="2345"/>
      <c r="I62" s="2345"/>
      <c r="J62" s="2345"/>
      <c r="K62" s="2345"/>
      <c r="L62" s="2345"/>
      <c r="M62" s="2345"/>
      <c r="N62" s="2355"/>
      <c r="O62" s="2447"/>
      <c r="P62" s="228"/>
    </row>
    <row r="63" spans="1:16" ht="6" customHeight="1" x14ac:dyDescent="0.25">
      <c r="A63" s="47"/>
      <c r="B63" s="2355"/>
      <c r="C63" s="2345"/>
      <c r="D63" s="2345"/>
      <c r="E63" s="2345"/>
      <c r="F63" s="2345"/>
      <c r="G63" s="2345"/>
      <c r="H63" s="2345"/>
      <c r="I63" s="2345"/>
      <c r="J63" s="2345"/>
      <c r="K63" s="2345"/>
      <c r="L63" s="2345"/>
      <c r="M63" s="2345"/>
      <c r="N63" s="2355"/>
      <c r="O63" s="2447"/>
      <c r="P63" s="228"/>
    </row>
    <row r="64" spans="1:16" x14ac:dyDescent="0.25">
      <c r="A64" s="42" t="s">
        <v>42</v>
      </c>
      <c r="B64" s="2344">
        <f>B60-B65</f>
        <v>195097000</v>
      </c>
      <c r="C64" s="2345">
        <f>($B$64/12)</f>
        <v>16258083.333333334</v>
      </c>
      <c r="D64" s="2345">
        <f>($B$64/12)</f>
        <v>16258083.333333334</v>
      </c>
      <c r="E64" s="2345">
        <f t="shared" ref="E64:N64" si="20">($B$64/12)</f>
        <v>16258083.333333334</v>
      </c>
      <c r="F64" s="2345">
        <f t="shared" si="20"/>
        <v>16258083.333333334</v>
      </c>
      <c r="G64" s="2345">
        <f t="shared" si="20"/>
        <v>16258083.333333334</v>
      </c>
      <c r="H64" s="2345">
        <f t="shared" si="20"/>
        <v>16258083.333333334</v>
      </c>
      <c r="I64" s="2345">
        <f t="shared" si="20"/>
        <v>16258083.333333334</v>
      </c>
      <c r="J64" s="2345">
        <f t="shared" si="20"/>
        <v>16258083.333333334</v>
      </c>
      <c r="K64" s="2345">
        <f t="shared" si="20"/>
        <v>16258083.333333334</v>
      </c>
      <c r="L64" s="2345">
        <f t="shared" si="20"/>
        <v>16258083.333333334</v>
      </c>
      <c r="M64" s="2345">
        <f t="shared" si="20"/>
        <v>16258083.333333334</v>
      </c>
      <c r="N64" s="2345">
        <f t="shared" si="20"/>
        <v>16258083.333333334</v>
      </c>
      <c r="O64" s="2447"/>
      <c r="P64" s="228"/>
    </row>
    <row r="65" spans="1:16" ht="13.2" thickBot="1" x14ac:dyDescent="0.3">
      <c r="A65" s="331" t="s">
        <v>319</v>
      </c>
      <c r="B65" s="2446">
        <f>'14.sz.melléklet'!F23</f>
        <v>6056000</v>
      </c>
      <c r="C65" s="2361"/>
      <c r="D65" s="2361"/>
      <c r="E65" s="2361">
        <v>140500</v>
      </c>
      <c r="F65" s="2361">
        <v>140500</v>
      </c>
      <c r="G65" s="2361">
        <f>140500+'14.a.sz. melléklet'!I7</f>
        <v>3696500</v>
      </c>
      <c r="H65" s="2361">
        <v>140500</v>
      </c>
      <c r="I65" s="2361">
        <f>140500+845000</f>
        <v>985500</v>
      </c>
      <c r="J65" s="2361">
        <f>140500+'14.a.sz. melléklet'!I6</f>
        <v>390500</v>
      </c>
      <c r="K65" s="2361">
        <v>140500</v>
      </c>
      <c r="L65" s="2361">
        <v>140500</v>
      </c>
      <c r="M65" s="2361">
        <v>140500</v>
      </c>
      <c r="N65" s="2361">
        <v>140500</v>
      </c>
      <c r="O65" s="2447"/>
      <c r="P65" s="228"/>
    </row>
    <row r="66" spans="1:16" ht="13.8" thickBot="1" x14ac:dyDescent="0.3">
      <c r="A66" s="48" t="s">
        <v>45</v>
      </c>
      <c r="B66" s="2358">
        <f>SUM(B64:B65)</f>
        <v>201153000</v>
      </c>
      <c r="C66" s="2359">
        <f>SUM(C64:C65)</f>
        <v>16258083.333333334</v>
      </c>
      <c r="D66" s="2359">
        <f t="shared" ref="D66:N66" si="21">SUM(D64:D65)</f>
        <v>16258083.333333334</v>
      </c>
      <c r="E66" s="2359">
        <f t="shared" si="21"/>
        <v>16398583.333333334</v>
      </c>
      <c r="F66" s="2359">
        <f t="shared" si="21"/>
        <v>16398583.333333334</v>
      </c>
      <c r="G66" s="2359">
        <f t="shared" si="21"/>
        <v>19954583.333333336</v>
      </c>
      <c r="H66" s="2359">
        <f t="shared" si="21"/>
        <v>16398583.333333334</v>
      </c>
      <c r="I66" s="2359">
        <f t="shared" si="21"/>
        <v>17243583.333333336</v>
      </c>
      <c r="J66" s="2359">
        <f t="shared" si="21"/>
        <v>16648583.333333334</v>
      </c>
      <c r="K66" s="2359">
        <f t="shared" si="21"/>
        <v>16398583.333333334</v>
      </c>
      <c r="L66" s="2359">
        <f t="shared" si="21"/>
        <v>16398583.333333334</v>
      </c>
      <c r="M66" s="2359">
        <f t="shared" si="21"/>
        <v>16398583.333333334</v>
      </c>
      <c r="N66" s="2359">
        <f t="shared" si="21"/>
        <v>16398583.333333334</v>
      </c>
      <c r="O66" s="2447"/>
      <c r="P66" s="228"/>
    </row>
    <row r="67" spans="1:16" ht="13.8" thickBot="1" x14ac:dyDescent="0.3">
      <c r="A67" s="49"/>
      <c r="B67" s="2360"/>
      <c r="C67" s="2361"/>
      <c r="D67" s="2361"/>
      <c r="E67" s="2361"/>
      <c r="F67" s="2361"/>
      <c r="G67" s="2361"/>
      <c r="H67" s="2361"/>
      <c r="I67" s="2361"/>
      <c r="J67" s="2361"/>
      <c r="K67" s="2361"/>
      <c r="L67" s="2361"/>
      <c r="M67" s="2361"/>
      <c r="N67" s="2360"/>
      <c r="O67" s="2447"/>
      <c r="P67" s="228"/>
    </row>
    <row r="68" spans="1:16" ht="13.8" thickBot="1" x14ac:dyDescent="0.3">
      <c r="A68" s="48" t="s">
        <v>46</v>
      </c>
      <c r="B68" s="2362">
        <f>B66-B60</f>
        <v>0</v>
      </c>
      <c r="C68" s="2363">
        <f t="shared" ref="C68:N68" si="22">C60-C66</f>
        <v>304666.66666666605</v>
      </c>
      <c r="D68" s="2363">
        <f t="shared" si="22"/>
        <v>104616.66666666605</v>
      </c>
      <c r="E68" s="2363">
        <f t="shared" si="22"/>
        <v>364116.66666666605</v>
      </c>
      <c r="F68" s="2363">
        <f t="shared" si="22"/>
        <v>-35883.333333333954</v>
      </c>
      <c r="G68" s="2363">
        <f t="shared" si="22"/>
        <v>-1591833.3333333358</v>
      </c>
      <c r="H68" s="2363">
        <f t="shared" si="22"/>
        <v>364166.66666666605</v>
      </c>
      <c r="I68" s="2363">
        <f t="shared" si="22"/>
        <v>-680073.33333333582</v>
      </c>
      <c r="J68" s="2363">
        <f t="shared" si="22"/>
        <v>114116.66666666605</v>
      </c>
      <c r="K68" s="2363">
        <f t="shared" si="22"/>
        <v>-36243.333333333954</v>
      </c>
      <c r="L68" s="2363">
        <f t="shared" si="22"/>
        <v>364116.66666666605</v>
      </c>
      <c r="M68" s="2363">
        <f t="shared" si="22"/>
        <v>364116.66666666605</v>
      </c>
      <c r="N68" s="2362">
        <f t="shared" si="22"/>
        <v>364116.66666666605</v>
      </c>
      <c r="O68" s="2447"/>
      <c r="P68" s="228"/>
    </row>
    <row r="69" spans="1:16" x14ac:dyDescent="0.25">
      <c r="A69" s="145" t="s">
        <v>74</v>
      </c>
      <c r="B69" s="228"/>
      <c r="C69" s="1402">
        <f>C60-C66</f>
        <v>304666.66666666605</v>
      </c>
      <c r="D69" s="1402">
        <f t="shared" ref="D69:N69" si="23">C69+D60-D66</f>
        <v>409283.33333333209</v>
      </c>
      <c r="E69" s="1402">
        <f t="shared" si="23"/>
        <v>773399.99999999814</v>
      </c>
      <c r="F69" s="1402">
        <f t="shared" si="23"/>
        <v>737516.66666666605</v>
      </c>
      <c r="G69" s="1402">
        <f t="shared" si="23"/>
        <v>-854316.66666667163</v>
      </c>
      <c r="H69" s="1402">
        <f t="shared" si="23"/>
        <v>-490150.00000000559</v>
      </c>
      <c r="I69" s="1402">
        <f t="shared" si="23"/>
        <v>-1170223.3333333414</v>
      </c>
      <c r="J69" s="1402">
        <f t="shared" si="23"/>
        <v>-1056106.6666666754</v>
      </c>
      <c r="K69" s="1402">
        <f t="shared" si="23"/>
        <v>-1092350.0000000093</v>
      </c>
      <c r="L69" s="1402">
        <f t="shared" si="23"/>
        <v>-728233.33333334327</v>
      </c>
      <c r="M69" s="1402">
        <f t="shared" si="23"/>
        <v>-364116.66666667722</v>
      </c>
      <c r="N69" s="2364">
        <f t="shared" si="23"/>
        <v>0</v>
      </c>
      <c r="O69" s="2447"/>
      <c r="P69" s="228"/>
    </row>
    <row r="70" spans="1:16" ht="13.2" x14ac:dyDescent="0.25">
      <c r="A70" s="194"/>
      <c r="B70" s="254"/>
      <c r="C70" s="254"/>
      <c r="D70" s="254"/>
      <c r="E70" s="254"/>
      <c r="F70" s="254"/>
      <c r="G70" s="254"/>
      <c r="H70" s="254"/>
      <c r="I70" s="254"/>
      <c r="J70" s="254"/>
      <c r="K70" s="254"/>
      <c r="L70" s="254"/>
      <c r="M70" s="254"/>
      <c r="N70" s="255"/>
      <c r="O70" s="2447"/>
      <c r="P70" s="228"/>
    </row>
    <row r="71" spans="1:16" ht="13.8" thickBot="1" x14ac:dyDescent="0.3">
      <c r="A71" s="196" t="s">
        <v>203</v>
      </c>
      <c r="B71" s="197"/>
      <c r="C71" s="198"/>
      <c r="D71" s="198"/>
      <c r="E71" s="198"/>
      <c r="F71" s="197"/>
      <c r="G71" s="199"/>
      <c r="H71" s="199"/>
      <c r="I71" s="200"/>
      <c r="J71" s="201"/>
      <c r="K71" s="201" t="s">
        <v>515</v>
      </c>
      <c r="L71" s="202"/>
      <c r="M71" s="201"/>
      <c r="N71" s="203"/>
      <c r="O71" s="2447"/>
      <c r="P71" s="228"/>
    </row>
    <row r="72" spans="1:16" x14ac:dyDescent="0.25">
      <c r="A72" s="32" t="s">
        <v>32</v>
      </c>
      <c r="B72" s="35" t="s">
        <v>0</v>
      </c>
      <c r="C72" s="33" t="s">
        <v>33</v>
      </c>
      <c r="D72" s="33" t="s">
        <v>34</v>
      </c>
      <c r="E72" s="33" t="s">
        <v>35</v>
      </c>
      <c r="F72" s="33" t="s">
        <v>36</v>
      </c>
      <c r="G72" s="33" t="s">
        <v>37</v>
      </c>
      <c r="H72" s="33" t="s">
        <v>38</v>
      </c>
      <c r="I72" s="33" t="s">
        <v>39</v>
      </c>
      <c r="J72" s="33" t="s">
        <v>47</v>
      </c>
      <c r="K72" s="34" t="s">
        <v>48</v>
      </c>
      <c r="L72" s="33" t="s">
        <v>49</v>
      </c>
      <c r="M72" s="33" t="s">
        <v>50</v>
      </c>
      <c r="N72" s="35" t="s">
        <v>51</v>
      </c>
      <c r="O72" s="2447"/>
      <c r="P72" s="228"/>
    </row>
    <row r="73" spans="1:16" ht="13.2" thickBot="1" x14ac:dyDescent="0.3">
      <c r="A73" s="36" t="s">
        <v>40</v>
      </c>
      <c r="B73" s="3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8"/>
      <c r="O73" s="2447"/>
      <c r="P73" s="228"/>
    </row>
    <row r="74" spans="1:16" ht="7.5" customHeight="1" x14ac:dyDescent="0.25">
      <c r="A74" s="39"/>
      <c r="B74" s="41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1"/>
      <c r="O74" s="2447"/>
      <c r="P74" s="228"/>
    </row>
    <row r="75" spans="1:16" x14ac:dyDescent="0.25">
      <c r="A75" s="42" t="s">
        <v>298</v>
      </c>
      <c r="B75" s="2344">
        <f>'15.sz.melléklet'!C38</f>
        <v>6855000</v>
      </c>
      <c r="C75" s="2345">
        <f>$B75/12</f>
        <v>571250</v>
      </c>
      <c r="D75" s="2345">
        <f t="shared" ref="D75:N75" si="24">$B75/12</f>
        <v>571250</v>
      </c>
      <c r="E75" s="2345">
        <f t="shared" si="24"/>
        <v>571250</v>
      </c>
      <c r="F75" s="2345">
        <f t="shared" si="24"/>
        <v>571250</v>
      </c>
      <c r="G75" s="2345">
        <f t="shared" si="24"/>
        <v>571250</v>
      </c>
      <c r="H75" s="2345">
        <f t="shared" si="24"/>
        <v>571250</v>
      </c>
      <c r="I75" s="2345">
        <f t="shared" si="24"/>
        <v>571250</v>
      </c>
      <c r="J75" s="2345">
        <f t="shared" si="24"/>
        <v>571250</v>
      </c>
      <c r="K75" s="2345">
        <f t="shared" si="24"/>
        <v>571250</v>
      </c>
      <c r="L75" s="2345">
        <f t="shared" si="24"/>
        <v>571250</v>
      </c>
      <c r="M75" s="2345">
        <f t="shared" si="24"/>
        <v>571250</v>
      </c>
      <c r="N75" s="2355">
        <f t="shared" si="24"/>
        <v>571250</v>
      </c>
      <c r="O75" s="2447"/>
      <c r="P75" s="228"/>
    </row>
    <row r="76" spans="1:16" x14ac:dyDescent="0.25">
      <c r="A76" s="42" t="s">
        <v>302</v>
      </c>
      <c r="B76" s="2346">
        <f>'15.sz.melléklet'!D38</f>
        <v>58852000</v>
      </c>
      <c r="C76" s="2347">
        <f>$B$76/12</f>
        <v>4904333.333333333</v>
      </c>
      <c r="D76" s="2347">
        <f t="shared" ref="D76:M76" si="25">$B$76/12</f>
        <v>4904333.333333333</v>
      </c>
      <c r="E76" s="2347">
        <f t="shared" si="25"/>
        <v>4904333.333333333</v>
      </c>
      <c r="F76" s="2347">
        <f>$B$76/12</f>
        <v>4904333.333333333</v>
      </c>
      <c r="G76" s="2347">
        <f>$B$76/12+1300</f>
        <v>4905633.333333333</v>
      </c>
      <c r="H76" s="2347">
        <f t="shared" si="25"/>
        <v>4904333.333333333</v>
      </c>
      <c r="I76" s="2347">
        <f t="shared" si="25"/>
        <v>4904333.333333333</v>
      </c>
      <c r="J76" s="2347">
        <f>$B$76/12-500</f>
        <v>4903833.333333333</v>
      </c>
      <c r="K76" s="2347">
        <f t="shared" si="25"/>
        <v>4904333.333333333</v>
      </c>
      <c r="L76" s="2347">
        <f>$B$76/12-400</f>
        <v>4903933.333333333</v>
      </c>
      <c r="M76" s="2347">
        <f t="shared" si="25"/>
        <v>4904333.333333333</v>
      </c>
      <c r="N76" s="2348">
        <f>$B$76/12-400</f>
        <v>4903933.333333333</v>
      </c>
      <c r="O76" s="2447"/>
      <c r="P76" s="228"/>
    </row>
    <row r="77" spans="1:16" ht="13.2" thickBot="1" x14ac:dyDescent="0.3">
      <c r="A77" s="2448" t="s">
        <v>545</v>
      </c>
      <c r="B77" s="2440">
        <f>SUM('15.sz.melléklet'!E38)</f>
        <v>1300000</v>
      </c>
      <c r="C77" s="2350"/>
      <c r="D77" s="2350"/>
      <c r="E77" s="2350"/>
      <c r="F77" s="2350"/>
      <c r="G77" s="2350"/>
      <c r="H77" s="2350"/>
      <c r="I77" s="2350"/>
      <c r="J77" s="2350">
        <v>1300000</v>
      </c>
      <c r="K77" s="2350"/>
      <c r="L77" s="2350"/>
      <c r="M77" s="2350"/>
      <c r="N77" s="2440"/>
      <c r="O77" s="2447"/>
      <c r="P77" s="228"/>
    </row>
    <row r="78" spans="1:16" ht="13.8" thickBot="1" x14ac:dyDescent="0.3">
      <c r="A78" s="44" t="s">
        <v>19</v>
      </c>
      <c r="B78" s="2351">
        <f t="shared" ref="B78:N78" si="26">SUM(B75:B77)</f>
        <v>67007000</v>
      </c>
      <c r="C78" s="2352">
        <f t="shared" si="26"/>
        <v>5475583.333333333</v>
      </c>
      <c r="D78" s="2352">
        <f t="shared" si="26"/>
        <v>5475583.333333333</v>
      </c>
      <c r="E78" s="2352">
        <f t="shared" si="26"/>
        <v>5475583.333333333</v>
      </c>
      <c r="F78" s="2352">
        <f t="shared" si="26"/>
        <v>5475583.333333333</v>
      </c>
      <c r="G78" s="2352">
        <f t="shared" si="26"/>
        <v>5476883.333333333</v>
      </c>
      <c r="H78" s="2352">
        <f t="shared" si="26"/>
        <v>5475583.333333333</v>
      </c>
      <c r="I78" s="2352">
        <f t="shared" si="26"/>
        <v>5475583.333333333</v>
      </c>
      <c r="J78" s="2352">
        <f t="shared" si="26"/>
        <v>6775083.333333333</v>
      </c>
      <c r="K78" s="2352">
        <f t="shared" si="26"/>
        <v>5475583.333333333</v>
      </c>
      <c r="L78" s="2352">
        <f t="shared" si="26"/>
        <v>5475183.333333333</v>
      </c>
      <c r="M78" s="2352">
        <f t="shared" si="26"/>
        <v>5475583.333333333</v>
      </c>
      <c r="N78" s="2351">
        <f t="shared" si="26"/>
        <v>5475183.333333333</v>
      </c>
      <c r="O78" s="2447"/>
      <c r="P78" s="228"/>
    </row>
    <row r="79" spans="1:16" ht="13.2" x14ac:dyDescent="0.25">
      <c r="A79" s="45"/>
      <c r="B79" s="2353"/>
      <c r="C79" s="2354"/>
      <c r="D79" s="2354"/>
      <c r="E79" s="2354"/>
      <c r="F79" s="2354"/>
      <c r="G79" s="2354"/>
      <c r="H79" s="2354"/>
      <c r="I79" s="2354"/>
      <c r="J79" s="2354"/>
      <c r="K79" s="2354"/>
      <c r="L79" s="2354"/>
      <c r="M79" s="2354"/>
      <c r="N79" s="2353"/>
      <c r="O79" s="2447"/>
      <c r="P79" s="228"/>
    </row>
    <row r="80" spans="1:16" ht="13.2" x14ac:dyDescent="0.25">
      <c r="A80" s="46" t="s">
        <v>41</v>
      </c>
      <c r="B80" s="2355"/>
      <c r="C80" s="2345"/>
      <c r="D80" s="2345"/>
      <c r="E80" s="2345"/>
      <c r="F80" s="2345"/>
      <c r="G80" s="2345"/>
      <c r="H80" s="2345"/>
      <c r="I80" s="2345"/>
      <c r="J80" s="2345"/>
      <c r="K80" s="2345"/>
      <c r="L80" s="2345"/>
      <c r="M80" s="2345"/>
      <c r="N80" s="2355"/>
      <c r="O80" s="2447"/>
      <c r="P80" s="228"/>
    </row>
    <row r="81" spans="1:16" ht="6" customHeight="1" x14ac:dyDescent="0.25">
      <c r="A81" s="46"/>
      <c r="B81" s="2355"/>
      <c r="C81" s="2345"/>
      <c r="D81" s="2345"/>
      <c r="E81" s="2345"/>
      <c r="F81" s="2345"/>
      <c r="G81" s="2345"/>
      <c r="H81" s="2345"/>
      <c r="I81" s="2345"/>
      <c r="J81" s="2345"/>
      <c r="K81" s="2345"/>
      <c r="L81" s="2345"/>
      <c r="M81" s="2345"/>
      <c r="N81" s="2355"/>
      <c r="O81" s="2447"/>
      <c r="P81" s="228"/>
    </row>
    <row r="82" spans="1:16" x14ac:dyDescent="0.25">
      <c r="A82" s="42" t="s">
        <v>319</v>
      </c>
      <c r="B82" s="2344">
        <f>SUM('1.sz. melléklet'!K23)</f>
        <v>3790000</v>
      </c>
      <c r="C82" s="2345">
        <f>SUM('15.a.sz.melléklet'!I9)</f>
        <v>150000</v>
      </c>
      <c r="D82" s="2345">
        <f>SUM('15.a.sz.melléklet'!I10)+109000</f>
        <v>409000</v>
      </c>
      <c r="E82" s="2345">
        <f>SUM('15.a.sz.melléklet'!I11)+218000</f>
        <v>378000</v>
      </c>
      <c r="F82" s="2345">
        <v>218000</v>
      </c>
      <c r="G82" s="2345">
        <v>218000</v>
      </c>
      <c r="H82" s="2345">
        <v>218000</v>
      </c>
      <c r="I82" s="2345">
        <v>218000</v>
      </c>
      <c r="J82" s="2345">
        <f>218000+1000000</f>
        <v>1218000</v>
      </c>
      <c r="K82" s="2345">
        <v>218000</v>
      </c>
      <c r="L82" s="2345">
        <v>109000</v>
      </c>
      <c r="M82" s="2345">
        <v>218000</v>
      </c>
      <c r="N82" s="2345">
        <v>218000</v>
      </c>
      <c r="O82" s="2447"/>
      <c r="P82" s="228"/>
    </row>
    <row r="83" spans="1:16" ht="13.2" thickBot="1" x14ac:dyDescent="0.3">
      <c r="A83" s="42" t="s">
        <v>42</v>
      </c>
      <c r="B83" s="2344">
        <f>SUM(B78-B82)</f>
        <v>63217000</v>
      </c>
      <c r="C83" s="2345">
        <f>$B$83/12</f>
        <v>5268083.333333333</v>
      </c>
      <c r="D83" s="2345">
        <f t="shared" ref="D83:N83" si="27">$B$83/12</f>
        <v>5268083.333333333</v>
      </c>
      <c r="E83" s="2345">
        <f t="shared" si="27"/>
        <v>5268083.333333333</v>
      </c>
      <c r="F83" s="2345">
        <f t="shared" si="27"/>
        <v>5268083.333333333</v>
      </c>
      <c r="G83" s="2345">
        <f t="shared" si="27"/>
        <v>5268083.333333333</v>
      </c>
      <c r="H83" s="2345">
        <f t="shared" si="27"/>
        <v>5268083.333333333</v>
      </c>
      <c r="I83" s="2345">
        <f t="shared" si="27"/>
        <v>5268083.333333333</v>
      </c>
      <c r="J83" s="2345">
        <f t="shared" si="27"/>
        <v>5268083.333333333</v>
      </c>
      <c r="K83" s="2345">
        <f t="shared" si="27"/>
        <v>5268083.333333333</v>
      </c>
      <c r="L83" s="2345">
        <f t="shared" si="27"/>
        <v>5268083.333333333</v>
      </c>
      <c r="M83" s="2345">
        <f t="shared" si="27"/>
        <v>5268083.333333333</v>
      </c>
      <c r="N83" s="2355">
        <f t="shared" si="27"/>
        <v>5268083.333333333</v>
      </c>
      <c r="O83" s="2447"/>
      <c r="P83" s="228"/>
    </row>
    <row r="84" spans="1:16" ht="13.8" thickBot="1" x14ac:dyDescent="0.3">
      <c r="A84" s="48" t="s">
        <v>45</v>
      </c>
      <c r="B84" s="2358">
        <f>SUM(B82:B83)</f>
        <v>67007000</v>
      </c>
      <c r="C84" s="2359">
        <f>SUM(C82:C83)</f>
        <v>5418083.333333333</v>
      </c>
      <c r="D84" s="2359">
        <f t="shared" ref="D84:N84" si="28">SUM(D82:D83)</f>
        <v>5677083.333333333</v>
      </c>
      <c r="E84" s="2359">
        <f t="shared" si="28"/>
        <v>5646083.333333333</v>
      </c>
      <c r="F84" s="2359">
        <f t="shared" si="28"/>
        <v>5486083.333333333</v>
      </c>
      <c r="G84" s="2359">
        <f t="shared" si="28"/>
        <v>5486083.333333333</v>
      </c>
      <c r="H84" s="2359">
        <f t="shared" si="28"/>
        <v>5486083.333333333</v>
      </c>
      <c r="I84" s="2359">
        <f t="shared" si="28"/>
        <v>5486083.333333333</v>
      </c>
      <c r="J84" s="2359">
        <f t="shared" si="28"/>
        <v>6486083.333333333</v>
      </c>
      <c r="K84" s="2359">
        <f t="shared" si="28"/>
        <v>5486083.333333333</v>
      </c>
      <c r="L84" s="2359">
        <f t="shared" si="28"/>
        <v>5377083.333333333</v>
      </c>
      <c r="M84" s="2359">
        <f t="shared" si="28"/>
        <v>5486083.333333333</v>
      </c>
      <c r="N84" s="2359">
        <f t="shared" si="28"/>
        <v>5486083.333333333</v>
      </c>
      <c r="O84" s="2447"/>
      <c r="P84" s="228"/>
    </row>
    <row r="85" spans="1:16" ht="13.8" thickBot="1" x14ac:dyDescent="0.3">
      <c r="A85" s="49"/>
      <c r="B85" s="2360"/>
      <c r="C85" s="2361"/>
      <c r="D85" s="2361"/>
      <c r="E85" s="2361"/>
      <c r="F85" s="2361"/>
      <c r="G85" s="2361"/>
      <c r="H85" s="2361"/>
      <c r="I85" s="2361"/>
      <c r="J85" s="2361"/>
      <c r="K85" s="2361"/>
      <c r="L85" s="2361"/>
      <c r="M85" s="2361"/>
      <c r="N85" s="2360"/>
      <c r="O85" s="2447"/>
      <c r="P85" s="228"/>
    </row>
    <row r="86" spans="1:16" ht="13.8" thickBot="1" x14ac:dyDescent="0.3">
      <c r="A86" s="48" t="s">
        <v>46</v>
      </c>
      <c r="B86" s="2362">
        <f>B84-B78</f>
        <v>0</v>
      </c>
      <c r="C86" s="2363">
        <f t="shared" ref="C86:N86" si="29">C78-C84</f>
        <v>57500</v>
      </c>
      <c r="D86" s="2363">
        <f t="shared" si="29"/>
        <v>-201500</v>
      </c>
      <c r="E86" s="2363">
        <f t="shared" si="29"/>
        <v>-170500</v>
      </c>
      <c r="F86" s="2363">
        <f t="shared" si="29"/>
        <v>-10500</v>
      </c>
      <c r="G86" s="2363">
        <f t="shared" si="29"/>
        <v>-9200</v>
      </c>
      <c r="H86" s="2363">
        <f t="shared" si="29"/>
        <v>-10500</v>
      </c>
      <c r="I86" s="2363">
        <f t="shared" si="29"/>
        <v>-10500</v>
      </c>
      <c r="J86" s="2363">
        <f t="shared" si="29"/>
        <v>289000</v>
      </c>
      <c r="K86" s="2363">
        <f t="shared" si="29"/>
        <v>-10500</v>
      </c>
      <c r="L86" s="2363">
        <f t="shared" si="29"/>
        <v>98100</v>
      </c>
      <c r="M86" s="2363">
        <f t="shared" si="29"/>
        <v>-10500</v>
      </c>
      <c r="N86" s="2362">
        <f t="shared" si="29"/>
        <v>-10900</v>
      </c>
      <c r="O86" s="2447"/>
      <c r="P86" s="228"/>
    </row>
    <row r="87" spans="1:16" x14ac:dyDescent="0.25">
      <c r="A87" s="145" t="s">
        <v>74</v>
      </c>
      <c r="B87" s="228"/>
      <c r="C87" s="1402">
        <f>C78-C84</f>
        <v>57500</v>
      </c>
      <c r="D87" s="1402">
        <f t="shared" ref="D87:N87" si="30">C87+D78-D84</f>
        <v>-144000</v>
      </c>
      <c r="E87" s="1402">
        <f t="shared" si="30"/>
        <v>-314500</v>
      </c>
      <c r="F87" s="1402">
        <f t="shared" si="30"/>
        <v>-325000</v>
      </c>
      <c r="G87" s="1402">
        <f t="shared" si="30"/>
        <v>-334200</v>
      </c>
      <c r="H87" s="1402">
        <f t="shared" si="30"/>
        <v>-344700</v>
      </c>
      <c r="I87" s="1402">
        <f t="shared" si="30"/>
        <v>-355200</v>
      </c>
      <c r="J87" s="1402">
        <f t="shared" si="30"/>
        <v>-66200</v>
      </c>
      <c r="K87" s="1402">
        <f t="shared" si="30"/>
        <v>-76700</v>
      </c>
      <c r="L87" s="1402">
        <f t="shared" si="30"/>
        <v>21400</v>
      </c>
      <c r="M87" s="1402">
        <f t="shared" si="30"/>
        <v>10900</v>
      </c>
      <c r="N87" s="2364">
        <f t="shared" si="30"/>
        <v>0</v>
      </c>
      <c r="O87" s="2447"/>
      <c r="P87" s="228"/>
    </row>
    <row r="88" spans="1:16" ht="6" customHeight="1" x14ac:dyDescent="0.25">
      <c r="A88" s="145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38"/>
      <c r="O88" s="2447"/>
      <c r="P88" s="228"/>
    </row>
    <row r="89" spans="1:16" ht="13.8" thickBot="1" x14ac:dyDescent="0.3">
      <c r="A89" s="196" t="s">
        <v>137</v>
      </c>
      <c r="B89" s="197"/>
      <c r="C89" s="198"/>
      <c r="D89" s="198"/>
      <c r="E89" s="198"/>
      <c r="F89" s="197"/>
      <c r="G89" s="199"/>
      <c r="H89" s="199"/>
      <c r="I89" s="200"/>
      <c r="J89" s="201"/>
      <c r="K89" s="201" t="s">
        <v>515</v>
      </c>
      <c r="L89" s="202"/>
      <c r="M89" s="201"/>
      <c r="N89" s="203"/>
      <c r="O89" s="2447"/>
      <c r="P89" s="228"/>
    </row>
    <row r="90" spans="1:16" x14ac:dyDescent="0.25">
      <c r="A90" s="32" t="s">
        <v>32</v>
      </c>
      <c r="B90" s="35" t="s">
        <v>0</v>
      </c>
      <c r="C90" s="33" t="s">
        <v>33</v>
      </c>
      <c r="D90" s="33" t="s">
        <v>34</v>
      </c>
      <c r="E90" s="33" t="s">
        <v>35</v>
      </c>
      <c r="F90" s="33" t="s">
        <v>36</v>
      </c>
      <c r="G90" s="33" t="s">
        <v>37</v>
      </c>
      <c r="H90" s="33" t="s">
        <v>38</v>
      </c>
      <c r="I90" s="33" t="s">
        <v>39</v>
      </c>
      <c r="J90" s="33" t="s">
        <v>47</v>
      </c>
      <c r="K90" s="34" t="s">
        <v>48</v>
      </c>
      <c r="L90" s="33" t="s">
        <v>49</v>
      </c>
      <c r="M90" s="33" t="s">
        <v>50</v>
      </c>
      <c r="N90" s="35" t="s">
        <v>51</v>
      </c>
      <c r="O90" s="2447"/>
      <c r="P90" s="228"/>
    </row>
    <row r="91" spans="1:16" ht="13.2" thickBot="1" x14ac:dyDescent="0.3">
      <c r="A91" s="36" t="s">
        <v>40</v>
      </c>
      <c r="B91" s="38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8"/>
      <c r="O91" s="2447"/>
      <c r="P91" s="228"/>
    </row>
    <row r="92" spans="1:16" x14ac:dyDescent="0.25">
      <c r="A92" s="39"/>
      <c r="B92" s="41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1"/>
      <c r="O92" s="2447"/>
      <c r="P92" s="228"/>
    </row>
    <row r="93" spans="1:16" x14ac:dyDescent="0.25">
      <c r="A93" s="42" t="s">
        <v>298</v>
      </c>
      <c r="B93" s="2344">
        <f>'16.sz. melléklet'!C42</f>
        <v>267000</v>
      </c>
      <c r="C93" s="2345">
        <f>$B93/12</f>
        <v>22250</v>
      </c>
      <c r="D93" s="2345">
        <f t="shared" ref="D93:N93" si="31">$B93/12</f>
        <v>22250</v>
      </c>
      <c r="E93" s="2345">
        <f t="shared" si="31"/>
        <v>22250</v>
      </c>
      <c r="F93" s="2345">
        <f t="shared" si="31"/>
        <v>22250</v>
      </c>
      <c r="G93" s="2345">
        <f t="shared" si="31"/>
        <v>22250</v>
      </c>
      <c r="H93" s="2345">
        <f t="shared" si="31"/>
        <v>22250</v>
      </c>
      <c r="I93" s="2345">
        <f t="shared" si="31"/>
        <v>22250</v>
      </c>
      <c r="J93" s="2345">
        <f t="shared" si="31"/>
        <v>22250</v>
      </c>
      <c r="K93" s="2345">
        <f t="shared" si="31"/>
        <v>22250</v>
      </c>
      <c r="L93" s="2345">
        <f t="shared" si="31"/>
        <v>22250</v>
      </c>
      <c r="M93" s="2345">
        <f t="shared" si="31"/>
        <v>22250</v>
      </c>
      <c r="N93" s="2355">
        <f t="shared" si="31"/>
        <v>22250</v>
      </c>
      <c r="O93" s="2447"/>
      <c r="P93" s="228"/>
    </row>
    <row r="94" spans="1:16" x14ac:dyDescent="0.25">
      <c r="A94" s="42" t="s">
        <v>302</v>
      </c>
      <c r="B94" s="2346">
        <f>'16.sz. melléklet'!D42</f>
        <v>65413000</v>
      </c>
      <c r="C94" s="2347">
        <f>$B94/12</f>
        <v>5451083.333333333</v>
      </c>
      <c r="D94" s="2347">
        <f t="shared" ref="D94:N94" si="32">$B94/12</f>
        <v>5451083.333333333</v>
      </c>
      <c r="E94" s="2347">
        <f t="shared" si="32"/>
        <v>5451083.333333333</v>
      </c>
      <c r="F94" s="2347">
        <f t="shared" si="32"/>
        <v>5451083.333333333</v>
      </c>
      <c r="G94" s="2347">
        <f t="shared" si="32"/>
        <v>5451083.333333333</v>
      </c>
      <c r="H94" s="2347">
        <f t="shared" si="32"/>
        <v>5451083.333333333</v>
      </c>
      <c r="I94" s="2347">
        <f t="shared" si="32"/>
        <v>5451083.333333333</v>
      </c>
      <c r="J94" s="2347">
        <f t="shared" si="32"/>
        <v>5451083.333333333</v>
      </c>
      <c r="K94" s="2347">
        <f t="shared" si="32"/>
        <v>5451083.333333333</v>
      </c>
      <c r="L94" s="2347">
        <f t="shared" si="32"/>
        <v>5451083.333333333</v>
      </c>
      <c r="M94" s="2347">
        <f t="shared" si="32"/>
        <v>5451083.333333333</v>
      </c>
      <c r="N94" s="2347">
        <f t="shared" si="32"/>
        <v>5451083.333333333</v>
      </c>
      <c r="O94" s="2447"/>
      <c r="P94" s="228"/>
    </row>
    <row r="95" spans="1:16" ht="13.8" thickBot="1" x14ac:dyDescent="0.3">
      <c r="A95" s="43"/>
      <c r="B95" s="2440"/>
      <c r="C95" s="2350"/>
      <c r="D95" s="2350"/>
      <c r="E95" s="2350"/>
      <c r="F95" s="2350"/>
      <c r="G95" s="2350"/>
      <c r="H95" s="2350"/>
      <c r="I95" s="2350"/>
      <c r="J95" s="2350"/>
      <c r="K95" s="2350"/>
      <c r="L95" s="2350"/>
      <c r="M95" s="2350"/>
      <c r="N95" s="2440"/>
      <c r="O95" s="2447"/>
      <c r="P95" s="228"/>
    </row>
    <row r="96" spans="1:16" ht="13.8" thickBot="1" x14ac:dyDescent="0.3">
      <c r="A96" s="44" t="s">
        <v>19</v>
      </c>
      <c r="B96" s="2351">
        <f t="shared" ref="B96:N96" si="33">SUM(B93:B95)</f>
        <v>65680000</v>
      </c>
      <c r="C96" s="2352">
        <f t="shared" si="33"/>
        <v>5473333.333333333</v>
      </c>
      <c r="D96" s="2352">
        <f t="shared" si="33"/>
        <v>5473333.333333333</v>
      </c>
      <c r="E96" s="2352">
        <f t="shared" si="33"/>
        <v>5473333.333333333</v>
      </c>
      <c r="F96" s="2352">
        <f t="shared" si="33"/>
        <v>5473333.333333333</v>
      </c>
      <c r="G96" s="2352">
        <f t="shared" si="33"/>
        <v>5473333.333333333</v>
      </c>
      <c r="H96" s="2352">
        <f t="shared" si="33"/>
        <v>5473333.333333333</v>
      </c>
      <c r="I96" s="2352">
        <f t="shared" si="33"/>
        <v>5473333.333333333</v>
      </c>
      <c r="J96" s="2352">
        <f t="shared" si="33"/>
        <v>5473333.333333333</v>
      </c>
      <c r="K96" s="2352">
        <f t="shared" si="33"/>
        <v>5473333.333333333</v>
      </c>
      <c r="L96" s="2352">
        <f t="shared" si="33"/>
        <v>5473333.333333333</v>
      </c>
      <c r="M96" s="2352">
        <f t="shared" si="33"/>
        <v>5473333.333333333</v>
      </c>
      <c r="N96" s="2351">
        <f t="shared" si="33"/>
        <v>5473333.333333333</v>
      </c>
      <c r="O96" s="2447"/>
      <c r="P96" s="228"/>
    </row>
    <row r="97" spans="1:16" ht="6.75" customHeight="1" x14ac:dyDescent="0.25">
      <c r="A97" s="45"/>
      <c r="B97" s="2353"/>
      <c r="C97" s="2354"/>
      <c r="D97" s="2354"/>
      <c r="E97" s="2354"/>
      <c r="F97" s="2354"/>
      <c r="G97" s="2354"/>
      <c r="H97" s="2354"/>
      <c r="I97" s="2354"/>
      <c r="J97" s="2354"/>
      <c r="K97" s="2354"/>
      <c r="L97" s="2354"/>
      <c r="M97" s="2354"/>
      <c r="N97" s="2353"/>
      <c r="O97" s="2447"/>
      <c r="P97" s="228"/>
    </row>
    <row r="98" spans="1:16" ht="13.2" x14ac:dyDescent="0.25">
      <c r="A98" s="46" t="s">
        <v>41</v>
      </c>
      <c r="B98" s="2355"/>
      <c r="C98" s="2345"/>
      <c r="D98" s="2345"/>
      <c r="E98" s="2345"/>
      <c r="F98" s="2345"/>
      <c r="G98" s="2345"/>
      <c r="H98" s="2345"/>
      <c r="I98" s="2345"/>
      <c r="J98" s="2345"/>
      <c r="K98" s="2345"/>
      <c r="L98" s="2345"/>
      <c r="M98" s="2345"/>
      <c r="N98" s="2355"/>
      <c r="O98" s="2447"/>
      <c r="P98" s="228"/>
    </row>
    <row r="99" spans="1:16" ht="2.25" customHeight="1" x14ac:dyDescent="0.25">
      <c r="A99" s="46"/>
      <c r="B99" s="2355"/>
      <c r="C99" s="2345"/>
      <c r="D99" s="2345"/>
      <c r="E99" s="2345"/>
      <c r="F99" s="2345"/>
      <c r="G99" s="2345"/>
      <c r="H99" s="2345"/>
      <c r="I99" s="2345"/>
      <c r="J99" s="2345"/>
      <c r="K99" s="2345"/>
      <c r="L99" s="2345"/>
      <c r="M99" s="2345"/>
      <c r="N99" s="2355"/>
      <c r="O99" s="2447"/>
      <c r="P99" s="228"/>
    </row>
    <row r="100" spans="1:16" ht="13.5" customHeight="1" x14ac:dyDescent="0.25">
      <c r="A100" s="42" t="s">
        <v>319</v>
      </c>
      <c r="B100" s="2344">
        <f>SUM('1.sz. melléklet'!N23)</f>
        <v>1210000</v>
      </c>
      <c r="C100" s="2345"/>
      <c r="D100" s="2345"/>
      <c r="E100" s="2345">
        <f>SUM('16.a.sz. melléklet'!I7+'16.a.sz. melléklet'!I6)+50000</f>
        <v>510000</v>
      </c>
      <c r="F100" s="2345">
        <f>450000/9</f>
        <v>50000</v>
      </c>
      <c r="G100" s="2345">
        <f t="shared" ref="G100:N100" si="34">450000/9</f>
        <v>50000</v>
      </c>
      <c r="H100" s="2345">
        <f t="shared" si="34"/>
        <v>50000</v>
      </c>
      <c r="I100" s="2345">
        <f t="shared" si="34"/>
        <v>50000</v>
      </c>
      <c r="J100" s="2345">
        <v>300000</v>
      </c>
      <c r="K100" s="2345">
        <f t="shared" si="34"/>
        <v>50000</v>
      </c>
      <c r="L100" s="2345">
        <f t="shared" si="34"/>
        <v>50000</v>
      </c>
      <c r="M100" s="2345">
        <f t="shared" si="34"/>
        <v>50000</v>
      </c>
      <c r="N100" s="2345">
        <f t="shared" si="34"/>
        <v>50000</v>
      </c>
      <c r="O100" s="2447"/>
      <c r="P100" s="228"/>
    </row>
    <row r="101" spans="1:16" ht="13.2" thickBot="1" x14ac:dyDescent="0.3">
      <c r="A101" s="42" t="s">
        <v>42</v>
      </c>
      <c r="B101" s="2344">
        <f>SUM(B96-B100)</f>
        <v>64470000</v>
      </c>
      <c r="C101" s="2345">
        <f>$B$101/12</f>
        <v>5372500</v>
      </c>
      <c r="D101" s="2345">
        <f t="shared" ref="D101:N101" si="35">$B$101/12</f>
        <v>5372500</v>
      </c>
      <c r="E101" s="2345">
        <f t="shared" si="35"/>
        <v>5372500</v>
      </c>
      <c r="F101" s="2345">
        <f t="shared" si="35"/>
        <v>5372500</v>
      </c>
      <c r="G101" s="2345">
        <f t="shared" si="35"/>
        <v>5372500</v>
      </c>
      <c r="H101" s="2345">
        <f t="shared" si="35"/>
        <v>5372500</v>
      </c>
      <c r="I101" s="2345">
        <f t="shared" si="35"/>
        <v>5372500</v>
      </c>
      <c r="J101" s="2345">
        <f t="shared" si="35"/>
        <v>5372500</v>
      </c>
      <c r="K101" s="2345">
        <f t="shared" si="35"/>
        <v>5372500</v>
      </c>
      <c r="L101" s="2345">
        <f t="shared" si="35"/>
        <v>5372500</v>
      </c>
      <c r="M101" s="2345">
        <f t="shared" si="35"/>
        <v>5372500</v>
      </c>
      <c r="N101" s="2345">
        <f t="shared" si="35"/>
        <v>5372500</v>
      </c>
      <c r="O101" s="2447"/>
      <c r="P101" s="228"/>
    </row>
    <row r="102" spans="1:16" ht="13.8" thickBot="1" x14ac:dyDescent="0.3">
      <c r="A102" s="48" t="s">
        <v>45</v>
      </c>
      <c r="B102" s="2358">
        <f>SUM(B100:B101)</f>
        <v>65680000</v>
      </c>
      <c r="C102" s="2359">
        <f>SUM(C100:C101)</f>
        <v>5372500</v>
      </c>
      <c r="D102" s="2359">
        <f t="shared" ref="D102:N102" si="36">SUM(D100:D101)</f>
        <v>5372500</v>
      </c>
      <c r="E102" s="2359">
        <f t="shared" si="36"/>
        <v>5882500</v>
      </c>
      <c r="F102" s="2359">
        <f t="shared" si="36"/>
        <v>5422500</v>
      </c>
      <c r="G102" s="2359">
        <f t="shared" si="36"/>
        <v>5422500</v>
      </c>
      <c r="H102" s="2359">
        <f t="shared" si="36"/>
        <v>5422500</v>
      </c>
      <c r="I102" s="2359">
        <f t="shared" si="36"/>
        <v>5422500</v>
      </c>
      <c r="J102" s="2359">
        <f t="shared" si="36"/>
        <v>5672500</v>
      </c>
      <c r="K102" s="2359">
        <f t="shared" si="36"/>
        <v>5422500</v>
      </c>
      <c r="L102" s="2359">
        <f t="shared" si="36"/>
        <v>5422500</v>
      </c>
      <c r="M102" s="2359">
        <f t="shared" si="36"/>
        <v>5422500</v>
      </c>
      <c r="N102" s="2359">
        <f t="shared" si="36"/>
        <v>5422500</v>
      </c>
      <c r="O102" s="2447"/>
      <c r="P102" s="228"/>
    </row>
    <row r="103" spans="1:16" ht="13.8" thickBot="1" x14ac:dyDescent="0.3">
      <c r="A103" s="49"/>
      <c r="B103" s="2360"/>
      <c r="C103" s="2361"/>
      <c r="D103" s="2361"/>
      <c r="E103" s="2361"/>
      <c r="F103" s="2361"/>
      <c r="G103" s="2361"/>
      <c r="H103" s="2361"/>
      <c r="I103" s="2361"/>
      <c r="J103" s="2361"/>
      <c r="K103" s="2361"/>
      <c r="L103" s="2361"/>
      <c r="M103" s="2361"/>
      <c r="N103" s="2360"/>
      <c r="O103" s="2447"/>
      <c r="P103" s="228"/>
    </row>
    <row r="104" spans="1:16" ht="13.8" thickBot="1" x14ac:dyDescent="0.3">
      <c r="A104" s="48" t="s">
        <v>46</v>
      </c>
      <c r="B104" s="2362">
        <f>B102-B96</f>
        <v>0</v>
      </c>
      <c r="C104" s="2363">
        <f t="shared" ref="C104:N104" si="37">C96-C102</f>
        <v>100833.33333333302</v>
      </c>
      <c r="D104" s="2363">
        <f t="shared" si="37"/>
        <v>100833.33333333302</v>
      </c>
      <c r="E104" s="2363">
        <f t="shared" si="37"/>
        <v>-409166.66666666698</v>
      </c>
      <c r="F104" s="2363">
        <f t="shared" si="37"/>
        <v>50833.333333333023</v>
      </c>
      <c r="G104" s="2363">
        <f t="shared" si="37"/>
        <v>50833.333333333023</v>
      </c>
      <c r="H104" s="2363">
        <f t="shared" si="37"/>
        <v>50833.333333333023</v>
      </c>
      <c r="I104" s="2363">
        <f t="shared" si="37"/>
        <v>50833.333333333023</v>
      </c>
      <c r="J104" s="2363">
        <f t="shared" si="37"/>
        <v>-199166.66666666698</v>
      </c>
      <c r="K104" s="2363">
        <f t="shared" si="37"/>
        <v>50833.333333333023</v>
      </c>
      <c r="L104" s="2363">
        <f t="shared" si="37"/>
        <v>50833.333333333023</v>
      </c>
      <c r="M104" s="2363">
        <f t="shared" si="37"/>
        <v>50833.333333333023</v>
      </c>
      <c r="N104" s="2362">
        <f t="shared" si="37"/>
        <v>50833.333333333023</v>
      </c>
      <c r="O104" s="2447"/>
      <c r="P104" s="228"/>
    </row>
    <row r="105" spans="1:16" ht="10.5" customHeight="1" x14ac:dyDescent="0.25">
      <c r="A105" s="145"/>
      <c r="B105" s="228"/>
      <c r="C105" s="1402"/>
      <c r="D105" s="1402"/>
      <c r="E105" s="1402"/>
      <c r="F105" s="1402"/>
      <c r="G105" s="1402"/>
      <c r="H105" s="1402"/>
      <c r="I105" s="1402"/>
      <c r="J105" s="1402"/>
      <c r="K105" s="1402"/>
      <c r="L105" s="1402"/>
      <c r="M105" s="1402"/>
      <c r="N105" s="2364"/>
      <c r="O105" s="2447"/>
      <c r="P105" s="228"/>
    </row>
    <row r="106" spans="1:16" ht="13.2" thickBot="1" x14ac:dyDescent="0.3">
      <c r="A106" s="204" t="s">
        <v>74</v>
      </c>
      <c r="B106" s="240"/>
      <c r="C106" s="2443">
        <f>C96-C102</f>
        <v>100833.33333333302</v>
      </c>
      <c r="D106" s="2443">
        <f t="shared" ref="D106:N106" si="38">C106+D96-D102</f>
        <v>201666.66666666605</v>
      </c>
      <c r="E106" s="2443">
        <f t="shared" si="38"/>
        <v>-207500.00000000093</v>
      </c>
      <c r="F106" s="2443">
        <f t="shared" si="38"/>
        <v>-156666.66666666791</v>
      </c>
      <c r="G106" s="2443">
        <f t="shared" si="38"/>
        <v>-105833.33333333489</v>
      </c>
      <c r="H106" s="2443">
        <f t="shared" si="38"/>
        <v>-55000.000000001863</v>
      </c>
      <c r="I106" s="2443">
        <f t="shared" si="38"/>
        <v>-4166.6666666688398</v>
      </c>
      <c r="J106" s="2443">
        <f t="shared" si="38"/>
        <v>-203333.33333333582</v>
      </c>
      <c r="K106" s="2443">
        <f t="shared" si="38"/>
        <v>-152500.00000000279</v>
      </c>
      <c r="L106" s="2443">
        <f t="shared" si="38"/>
        <v>-101666.66666666977</v>
      </c>
      <c r="M106" s="2443">
        <f t="shared" si="38"/>
        <v>-50833.333333336748</v>
      </c>
      <c r="N106" s="2408">
        <f t="shared" si="38"/>
        <v>0</v>
      </c>
      <c r="O106" s="2447"/>
      <c r="P106" s="228"/>
    </row>
    <row r="107" spans="1:16" x14ac:dyDescent="0.25"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447"/>
      <c r="P107" s="228"/>
    </row>
    <row r="108" spans="1:16" x14ac:dyDescent="0.25"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447"/>
      <c r="P108" s="228"/>
    </row>
    <row r="109" spans="1:16" x14ac:dyDescent="0.25"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447"/>
      <c r="P109" s="228"/>
    </row>
    <row r="110" spans="1:16" x14ac:dyDescent="0.25"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447"/>
      <c r="P110" s="228"/>
    </row>
    <row r="111" spans="1:16" x14ac:dyDescent="0.25"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447"/>
      <c r="P111" s="228"/>
    </row>
    <row r="112" spans="1:16" x14ac:dyDescent="0.25"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447"/>
      <c r="P112" s="228"/>
    </row>
    <row r="113" spans="2:16" x14ac:dyDescent="0.25"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447"/>
      <c r="P113" s="228"/>
    </row>
    <row r="114" spans="2:16" x14ac:dyDescent="0.25"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447"/>
      <c r="P114" s="228"/>
    </row>
    <row r="115" spans="2:16" x14ac:dyDescent="0.25"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447"/>
      <c r="P115" s="228"/>
    </row>
    <row r="116" spans="2:16" x14ac:dyDescent="0.25"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447"/>
      <c r="P116" s="228"/>
    </row>
    <row r="117" spans="2:16" x14ac:dyDescent="0.25"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447"/>
      <c r="P117" s="228"/>
    </row>
    <row r="118" spans="2:16" x14ac:dyDescent="0.25"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447"/>
      <c r="P118" s="228"/>
    </row>
    <row r="119" spans="2:16" x14ac:dyDescent="0.25"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447"/>
      <c r="P119" s="228"/>
    </row>
    <row r="120" spans="2:16" x14ac:dyDescent="0.25"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447"/>
      <c r="P120" s="228"/>
    </row>
    <row r="121" spans="2:16" x14ac:dyDescent="0.25"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447"/>
      <c r="P121" s="228"/>
    </row>
    <row r="122" spans="2:16" x14ac:dyDescent="0.25"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447"/>
      <c r="P122" s="228"/>
    </row>
    <row r="123" spans="2:16" x14ac:dyDescent="0.25"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447"/>
      <c r="P123" s="228"/>
    </row>
    <row r="124" spans="2:16" x14ac:dyDescent="0.25"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447"/>
      <c r="P124" s="228"/>
    </row>
    <row r="125" spans="2:16" x14ac:dyDescent="0.25"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447"/>
    </row>
    <row r="126" spans="2:16" x14ac:dyDescent="0.25"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447"/>
    </row>
    <row r="127" spans="2:16" x14ac:dyDescent="0.25"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447"/>
    </row>
    <row r="128" spans="2:16" x14ac:dyDescent="0.25"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447"/>
    </row>
    <row r="129" spans="2:15" x14ac:dyDescent="0.25"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447"/>
    </row>
    <row r="130" spans="2:15" x14ac:dyDescent="0.25"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447"/>
    </row>
    <row r="131" spans="2:15" x14ac:dyDescent="0.25"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447"/>
    </row>
    <row r="132" spans="2:15" x14ac:dyDescent="0.25"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447"/>
    </row>
    <row r="133" spans="2:15" x14ac:dyDescent="0.25"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447"/>
    </row>
    <row r="134" spans="2:15" x14ac:dyDescent="0.25"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447"/>
    </row>
    <row r="135" spans="2:15" x14ac:dyDescent="0.25"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447"/>
    </row>
    <row r="136" spans="2:15" x14ac:dyDescent="0.25"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447"/>
    </row>
    <row r="137" spans="2:15" x14ac:dyDescent="0.25"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447"/>
    </row>
    <row r="138" spans="2:15" x14ac:dyDescent="0.25"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447"/>
    </row>
    <row r="139" spans="2:15" x14ac:dyDescent="0.25"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447"/>
    </row>
    <row r="140" spans="2:15" x14ac:dyDescent="0.25"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447"/>
    </row>
    <row r="141" spans="2:15" x14ac:dyDescent="0.25"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447"/>
    </row>
    <row r="142" spans="2:15" x14ac:dyDescent="0.25"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447"/>
    </row>
    <row r="143" spans="2:15" x14ac:dyDescent="0.25"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447"/>
    </row>
    <row r="144" spans="2:15" x14ac:dyDescent="0.25"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447"/>
    </row>
    <row r="145" spans="2:15" x14ac:dyDescent="0.25"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447"/>
    </row>
    <row r="146" spans="2:15" x14ac:dyDescent="0.25"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447"/>
    </row>
    <row r="147" spans="2:15" x14ac:dyDescent="0.25"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447"/>
    </row>
    <row r="148" spans="2:15" x14ac:dyDescent="0.25"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447"/>
    </row>
    <row r="149" spans="2:15" x14ac:dyDescent="0.25"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447"/>
    </row>
    <row r="150" spans="2:15" x14ac:dyDescent="0.25"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447"/>
    </row>
    <row r="151" spans="2:15" x14ac:dyDescent="0.25"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447"/>
    </row>
    <row r="152" spans="2:15" x14ac:dyDescent="0.25"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447"/>
    </row>
    <row r="153" spans="2:15" x14ac:dyDescent="0.25"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447"/>
    </row>
    <row r="154" spans="2:15" x14ac:dyDescent="0.25"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447"/>
    </row>
    <row r="155" spans="2:15" x14ac:dyDescent="0.25"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447"/>
    </row>
    <row r="156" spans="2:15" x14ac:dyDescent="0.25"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447"/>
    </row>
    <row r="157" spans="2:15" x14ac:dyDescent="0.25"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447"/>
    </row>
    <row r="158" spans="2:15" x14ac:dyDescent="0.25"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447"/>
    </row>
    <row r="159" spans="2:15" x14ac:dyDescent="0.25"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447"/>
    </row>
    <row r="160" spans="2:15" x14ac:dyDescent="0.25"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447"/>
    </row>
    <row r="161" spans="2:15" x14ac:dyDescent="0.25"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447"/>
    </row>
    <row r="162" spans="2:15" x14ac:dyDescent="0.25"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447"/>
    </row>
    <row r="163" spans="2:15" x14ac:dyDescent="0.25"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447"/>
    </row>
    <row r="164" spans="2:15" x14ac:dyDescent="0.25"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447"/>
    </row>
    <row r="165" spans="2:15" x14ac:dyDescent="0.25"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447"/>
    </row>
    <row r="166" spans="2:15" x14ac:dyDescent="0.25"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447"/>
    </row>
    <row r="167" spans="2:15" x14ac:dyDescent="0.25"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447"/>
    </row>
    <row r="168" spans="2:15" x14ac:dyDescent="0.25"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447"/>
    </row>
    <row r="169" spans="2:15" x14ac:dyDescent="0.25"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447"/>
    </row>
    <row r="170" spans="2:15" x14ac:dyDescent="0.25"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447"/>
    </row>
    <row r="171" spans="2:15" x14ac:dyDescent="0.25"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447"/>
    </row>
    <row r="172" spans="2:15" x14ac:dyDescent="0.25"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447"/>
    </row>
    <row r="173" spans="2:15" x14ac:dyDescent="0.25"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447"/>
    </row>
    <row r="174" spans="2:15" x14ac:dyDescent="0.25"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447"/>
    </row>
    <row r="175" spans="2:15" x14ac:dyDescent="0.25"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447"/>
    </row>
    <row r="176" spans="2:15" x14ac:dyDescent="0.25"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447"/>
    </row>
    <row r="177" spans="2:15" x14ac:dyDescent="0.25"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447"/>
    </row>
    <row r="178" spans="2:15" x14ac:dyDescent="0.25"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447"/>
    </row>
    <row r="179" spans="2:15" x14ac:dyDescent="0.25"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447"/>
    </row>
    <row r="180" spans="2:15" x14ac:dyDescent="0.25"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447"/>
    </row>
    <row r="181" spans="2:15" x14ac:dyDescent="0.25"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447"/>
    </row>
    <row r="182" spans="2:15" x14ac:dyDescent="0.25"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447"/>
    </row>
    <row r="183" spans="2:15" x14ac:dyDescent="0.25"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447"/>
    </row>
    <row r="184" spans="2:15" x14ac:dyDescent="0.25"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</row>
    <row r="185" spans="2:15" x14ac:dyDescent="0.25"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</row>
    <row r="186" spans="2:15" x14ac:dyDescent="0.25"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</row>
    <row r="187" spans="2:15" x14ac:dyDescent="0.25"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</row>
    <row r="188" spans="2:15" x14ac:dyDescent="0.25"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</row>
    <row r="189" spans="2:15" x14ac:dyDescent="0.25"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</row>
    <row r="190" spans="2:15" x14ac:dyDescent="0.25"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</row>
    <row r="191" spans="2:15" x14ac:dyDescent="0.25"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</row>
    <row r="192" spans="2:15" x14ac:dyDescent="0.25"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</row>
    <row r="193" spans="2:14" x14ac:dyDescent="0.25"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</row>
    <row r="194" spans="2:14" x14ac:dyDescent="0.25"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</row>
    <row r="195" spans="2:14" x14ac:dyDescent="0.25"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</row>
    <row r="196" spans="2:14" x14ac:dyDescent="0.25"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</row>
    <row r="197" spans="2:14" x14ac:dyDescent="0.25"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</row>
    <row r="198" spans="2:14" x14ac:dyDescent="0.25"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</row>
    <row r="199" spans="2:14" x14ac:dyDescent="0.25"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</row>
    <row r="200" spans="2:14" x14ac:dyDescent="0.25"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</row>
    <row r="201" spans="2:14" x14ac:dyDescent="0.25"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</row>
    <row r="202" spans="2:14" x14ac:dyDescent="0.25"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</row>
    <row r="203" spans="2:14" x14ac:dyDescent="0.25"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</row>
    <row r="204" spans="2:14" x14ac:dyDescent="0.25"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</row>
    <row r="205" spans="2:14" x14ac:dyDescent="0.25"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</row>
    <row r="206" spans="2:14" x14ac:dyDescent="0.25"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</row>
    <row r="207" spans="2:14" x14ac:dyDescent="0.25"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</row>
    <row r="208" spans="2:14" x14ac:dyDescent="0.25"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</row>
    <row r="209" spans="2:14" x14ac:dyDescent="0.25"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</row>
    <row r="210" spans="2:14" x14ac:dyDescent="0.25"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</row>
    <row r="211" spans="2:14" x14ac:dyDescent="0.25"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</row>
    <row r="212" spans="2:14" x14ac:dyDescent="0.25"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</row>
  </sheetData>
  <mergeCells count="1">
    <mergeCell ref="A2:N2"/>
  </mergeCells>
  <phoneticPr fontId="3" type="noConversion"/>
  <pageMargins left="0.49" right="0.47" top="1" bottom="1" header="0.5" footer="0.5"/>
  <pageSetup paperSize="9" scale="34" orientation="landscape" r:id="rId1"/>
  <headerFooter alignWithMargins="0">
    <oddHeader>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1149"/>
  <sheetViews>
    <sheetView topLeftCell="A290" workbookViewId="0">
      <selection activeCell="A286" sqref="A286:N336"/>
    </sheetView>
  </sheetViews>
  <sheetFormatPr defaultColWidth="9.109375" defaultRowHeight="13.8" x14ac:dyDescent="0.3"/>
  <cols>
    <col min="1" max="1" width="7.109375" style="587" customWidth="1"/>
    <col min="2" max="2" width="19" style="587" customWidth="1"/>
    <col min="3" max="3" width="12.6640625" style="954" bestFit="1" customWidth="1"/>
    <col min="4" max="4" width="13" style="954" bestFit="1" customWidth="1"/>
    <col min="5" max="5" width="12.88671875" style="954" bestFit="1" customWidth="1"/>
    <col min="6" max="6" width="12.6640625" style="954" bestFit="1" customWidth="1"/>
    <col min="7" max="7" width="12.5546875" style="954" customWidth="1"/>
    <col min="8" max="8" width="10.88671875" style="954" bestFit="1" customWidth="1"/>
    <col min="9" max="10" width="11.88671875" style="954" bestFit="1" customWidth="1"/>
    <col min="11" max="11" width="12.88671875" style="954" bestFit="1" customWidth="1"/>
    <col min="12" max="12" width="14.44140625" style="954" bestFit="1" customWidth="1"/>
    <col min="13" max="13" width="14.44140625" style="1073" bestFit="1" customWidth="1"/>
    <col min="14" max="14" width="14.44140625" style="954" bestFit="1" customWidth="1"/>
    <col min="15" max="15" width="14.88671875" style="954" bestFit="1" customWidth="1"/>
    <col min="16" max="16" width="12.33203125" style="954" bestFit="1" customWidth="1"/>
    <col min="17" max="17" width="9.109375" style="954"/>
    <col min="18" max="18" width="10" style="954" customWidth="1"/>
    <col min="19" max="20" width="9.109375" style="954"/>
    <col min="21" max="16384" width="9.109375" style="587"/>
  </cols>
  <sheetData>
    <row r="1" spans="1:41" ht="29.25" customHeight="1" thickBot="1" x14ac:dyDescent="0.35">
      <c r="A1" s="2510" t="s">
        <v>551</v>
      </c>
      <c r="B1" s="2511"/>
      <c r="C1" s="2511"/>
      <c r="D1" s="2511"/>
      <c r="E1" s="2511"/>
      <c r="F1" s="2511"/>
      <c r="G1" s="2511"/>
      <c r="H1" s="2511"/>
      <c r="I1" s="2511"/>
      <c r="J1" s="2511"/>
      <c r="K1" s="2511"/>
      <c r="L1" s="2512"/>
      <c r="M1" s="951"/>
      <c r="N1" s="952"/>
      <c r="O1" s="952"/>
      <c r="P1" s="953"/>
    </row>
    <row r="2" spans="1:41" ht="3.75" customHeight="1" thickBot="1" x14ac:dyDescent="0.35">
      <c r="A2" s="747"/>
      <c r="C2" s="955"/>
      <c r="D2" s="956"/>
      <c r="E2" s="956"/>
      <c r="F2" s="956"/>
      <c r="G2" s="956"/>
      <c r="H2" s="956"/>
      <c r="I2" s="956"/>
      <c r="J2" s="956"/>
      <c r="K2" s="957"/>
      <c r="L2" s="958"/>
      <c r="M2" s="957"/>
      <c r="N2" s="959"/>
      <c r="O2" s="952"/>
      <c r="P2" s="953"/>
    </row>
    <row r="3" spans="1:41" ht="39" customHeight="1" x14ac:dyDescent="0.3">
      <c r="A3" s="960" t="s">
        <v>215</v>
      </c>
      <c r="B3" s="961" t="s">
        <v>216</v>
      </c>
      <c r="C3" s="962" t="s">
        <v>217</v>
      </c>
      <c r="D3" s="962" t="s">
        <v>218</v>
      </c>
      <c r="E3" s="962" t="s">
        <v>131</v>
      </c>
      <c r="F3" s="962" t="s">
        <v>220</v>
      </c>
      <c r="G3" s="962" t="s">
        <v>221</v>
      </c>
      <c r="H3" s="962" t="s">
        <v>132</v>
      </c>
      <c r="I3" s="962" t="s">
        <v>219</v>
      </c>
      <c r="J3" s="962" t="s">
        <v>389</v>
      </c>
      <c r="K3" s="963" t="s">
        <v>133</v>
      </c>
      <c r="L3" s="964" t="s">
        <v>53</v>
      </c>
      <c r="M3" s="747"/>
      <c r="N3" s="587"/>
      <c r="O3" s="587"/>
      <c r="P3" s="587"/>
      <c r="Q3" s="587"/>
      <c r="R3" s="587"/>
      <c r="S3" s="587"/>
      <c r="T3" s="587"/>
    </row>
    <row r="4" spans="1:41" ht="14.4" customHeight="1" thickBot="1" x14ac:dyDescent="0.35">
      <c r="A4" s="2523" t="s">
        <v>176</v>
      </c>
      <c r="B4" s="2524"/>
      <c r="C4" s="1619"/>
      <c r="D4" s="1619"/>
      <c r="E4" s="1619"/>
      <c r="F4" s="1619"/>
      <c r="G4" s="1619"/>
      <c r="H4" s="1619"/>
      <c r="I4" s="1619"/>
      <c r="J4" s="1619"/>
      <c r="K4" s="1620"/>
      <c r="L4" s="1621"/>
      <c r="M4" s="747"/>
      <c r="N4" s="587"/>
      <c r="O4" s="587"/>
      <c r="P4" s="587"/>
      <c r="Q4" s="587"/>
      <c r="R4" s="587"/>
      <c r="S4" s="587"/>
      <c r="T4" s="587"/>
    </row>
    <row r="5" spans="1:41" ht="18" customHeight="1" x14ac:dyDescent="0.3">
      <c r="A5" s="580" t="s">
        <v>230</v>
      </c>
      <c r="B5" s="2452" t="s">
        <v>384</v>
      </c>
      <c r="C5" s="1622"/>
      <c r="D5" s="1622"/>
      <c r="E5" s="1622"/>
      <c r="F5" s="1622"/>
      <c r="G5" s="1622"/>
      <c r="H5" s="1622"/>
      <c r="I5" s="1622"/>
      <c r="J5" s="1622"/>
      <c r="K5" s="1623"/>
      <c r="L5" s="1624"/>
      <c r="M5" s="747"/>
      <c r="N5" s="587"/>
      <c r="O5" s="587"/>
      <c r="P5" s="587"/>
      <c r="Q5" s="587"/>
      <c r="R5" s="587"/>
      <c r="S5" s="587"/>
      <c r="T5" s="587"/>
    </row>
    <row r="6" spans="1:41" s="744" customFormat="1" ht="14.4" customHeight="1" thickBot="1" x14ac:dyDescent="0.35">
      <c r="A6" s="582"/>
      <c r="B6" s="583" t="s">
        <v>356</v>
      </c>
      <c r="C6" s="1625">
        <f>SUM('5.a.sz. melléklet'!C7)</f>
        <v>4895000</v>
      </c>
      <c r="D6" s="1625"/>
      <c r="E6" s="1625"/>
      <c r="F6" s="1625"/>
      <c r="G6" s="1625">
        <f>SUM('5.a.sz. melléklet'!G7)</f>
        <v>41546575</v>
      </c>
      <c r="H6" s="1625"/>
      <c r="I6" s="1625"/>
      <c r="J6" s="1625"/>
      <c r="K6" s="1626"/>
      <c r="L6" s="1627">
        <f>SUM(C6:K6)</f>
        <v>46441575</v>
      </c>
      <c r="M6" s="74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</row>
    <row r="7" spans="1:41" ht="0.15" customHeight="1" thickBot="1" x14ac:dyDescent="0.35">
      <c r="A7" s="1238"/>
      <c r="B7" s="938" t="s">
        <v>357</v>
      </c>
      <c r="C7" s="1628">
        <f>SUM('5.a.sz. melléklet'!C8)</f>
        <v>4895000</v>
      </c>
      <c r="D7" s="1628"/>
      <c r="E7" s="1628"/>
      <c r="F7" s="1628"/>
      <c r="G7" s="1628"/>
      <c r="H7" s="1628"/>
      <c r="I7" s="1628"/>
      <c r="J7" s="1628"/>
      <c r="K7" s="1629"/>
      <c r="L7" s="1630">
        <f>SUM(C7:K7)</f>
        <v>4895000</v>
      </c>
      <c r="M7" s="747"/>
      <c r="N7" s="587"/>
      <c r="O7" s="587"/>
      <c r="P7" s="587"/>
      <c r="Q7" s="587"/>
      <c r="R7" s="587"/>
      <c r="S7" s="587"/>
      <c r="T7" s="587"/>
    </row>
    <row r="8" spans="1:41" s="783" customFormat="1" ht="0.15" customHeight="1" x14ac:dyDescent="0.3">
      <c r="A8" s="791"/>
      <c r="B8" s="792" t="s">
        <v>355</v>
      </c>
      <c r="C8" s="1631"/>
      <c r="D8" s="1631"/>
      <c r="E8" s="1631"/>
      <c r="F8" s="1631"/>
      <c r="G8" s="1631"/>
      <c r="H8" s="1631"/>
      <c r="I8" s="1631"/>
      <c r="J8" s="1631"/>
      <c r="K8" s="1632"/>
      <c r="L8" s="1633">
        <f>SUM(C8:K8)</f>
        <v>0</v>
      </c>
      <c r="M8" s="782"/>
    </row>
    <row r="9" spans="1:41" ht="26.25" customHeight="1" x14ac:dyDescent="0.3">
      <c r="A9" s="580" t="s">
        <v>241</v>
      </c>
      <c r="B9" s="581" t="s">
        <v>497</v>
      </c>
      <c r="C9" s="1622"/>
      <c r="D9" s="1622"/>
      <c r="E9" s="1622"/>
      <c r="F9" s="1622"/>
      <c r="G9" s="1622"/>
      <c r="H9" s="1622"/>
      <c r="I9" s="1622"/>
      <c r="J9" s="1622"/>
      <c r="K9" s="1623"/>
      <c r="L9" s="1634"/>
      <c r="M9" s="747"/>
      <c r="N9" s="587"/>
      <c r="O9" s="587"/>
      <c r="P9" s="587"/>
      <c r="Q9" s="587"/>
      <c r="R9" s="587"/>
      <c r="S9" s="587"/>
      <c r="T9" s="587"/>
    </row>
    <row r="10" spans="1:41" s="744" customFormat="1" ht="14.4" customHeight="1" thickBot="1" x14ac:dyDescent="0.35">
      <c r="A10" s="582"/>
      <c r="B10" s="583" t="s">
        <v>356</v>
      </c>
      <c r="C10" s="1625">
        <f>SUM('5.a.sz. melléklet'!C11)</f>
        <v>52068000</v>
      </c>
      <c r="D10" s="1625"/>
      <c r="E10" s="1625"/>
      <c r="F10" s="1625"/>
      <c r="G10" s="1625">
        <f>SUM('5.a.sz. melléklet'!G11)</f>
        <v>695419999</v>
      </c>
      <c r="H10" s="1625"/>
      <c r="I10" s="1625">
        <f>SUM('5.a.sz. melléklet'!I11)</f>
        <v>217933000</v>
      </c>
      <c r="J10" s="1625"/>
      <c r="K10" s="1626">
        <f>SUM('5.a.sz. melléklet'!K11)</f>
        <v>0</v>
      </c>
      <c r="L10" s="1627">
        <f>SUM(C10:K10)</f>
        <v>965420999</v>
      </c>
      <c r="M10" s="747"/>
      <c r="N10" s="587"/>
      <c r="O10" s="587"/>
      <c r="P10" s="587"/>
      <c r="Q10" s="587"/>
      <c r="R10" s="587"/>
      <c r="S10" s="587"/>
      <c r="T10" s="587"/>
      <c r="U10" s="587"/>
      <c r="V10" s="587"/>
      <c r="W10" s="587"/>
      <c r="X10" s="587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</row>
    <row r="11" spans="1:41" ht="0.15" customHeight="1" thickBot="1" x14ac:dyDescent="0.35">
      <c r="A11" s="1238"/>
      <c r="B11" s="938" t="s">
        <v>357</v>
      </c>
      <c r="C11" s="1628">
        <f>SUM('5.a.sz. melléklet'!C12)</f>
        <v>17313</v>
      </c>
      <c r="D11" s="1628"/>
      <c r="E11" s="1628">
        <f>SUM('5.a.sz. melléklet'!E12)</f>
        <v>0</v>
      </c>
      <c r="F11" s="1628">
        <f>SUM('5.a.sz. melléklet'!F12)</f>
        <v>1100</v>
      </c>
      <c r="G11" s="1628">
        <f>SUM('5.a.sz. melléklet'!G12)</f>
        <v>240017</v>
      </c>
      <c r="H11" s="1628"/>
      <c r="I11" s="1628">
        <f>SUM('5.a.sz. melléklet'!I12)</f>
        <v>30565</v>
      </c>
      <c r="J11" s="1628"/>
      <c r="K11" s="1629">
        <f>SUM('5.a.sz. melléklet'!K12)</f>
        <v>0</v>
      </c>
      <c r="L11" s="1630">
        <f>SUM(C11:K11)</f>
        <v>288995</v>
      </c>
      <c r="M11" s="747"/>
      <c r="N11" s="587"/>
      <c r="O11" s="587"/>
      <c r="P11" s="587"/>
      <c r="Q11" s="587"/>
      <c r="R11" s="587"/>
      <c r="S11" s="587"/>
      <c r="T11" s="587"/>
    </row>
    <row r="12" spans="1:41" s="783" customFormat="1" ht="0.15" customHeight="1" x14ac:dyDescent="0.3">
      <c r="A12" s="791"/>
      <c r="B12" s="792" t="s">
        <v>355</v>
      </c>
      <c r="C12" s="1631"/>
      <c r="D12" s="1631"/>
      <c r="E12" s="1631"/>
      <c r="F12" s="1631"/>
      <c r="G12" s="1631"/>
      <c r="H12" s="1631"/>
      <c r="I12" s="1631"/>
      <c r="J12" s="1631"/>
      <c r="K12" s="1632"/>
      <c r="L12" s="1633">
        <f>SUM(C12:K12)</f>
        <v>0</v>
      </c>
      <c r="M12" s="782"/>
    </row>
    <row r="13" spans="1:41" ht="41.4" x14ac:dyDescent="0.3">
      <c r="A13" s="580" t="s">
        <v>294</v>
      </c>
      <c r="B13" s="581" t="s">
        <v>295</v>
      </c>
      <c r="C13" s="1622"/>
      <c r="D13" s="1622"/>
      <c r="E13" s="1622"/>
      <c r="F13" s="1622"/>
      <c r="G13" s="1622"/>
      <c r="H13" s="1622"/>
      <c r="I13" s="1622"/>
      <c r="J13" s="1622"/>
      <c r="K13" s="1623"/>
      <c r="L13" s="1634"/>
      <c r="M13" s="747"/>
      <c r="N13" s="587"/>
      <c r="O13" s="587"/>
      <c r="P13" s="587"/>
      <c r="Q13" s="587"/>
      <c r="R13" s="587"/>
      <c r="S13" s="587"/>
      <c r="T13" s="587"/>
    </row>
    <row r="14" spans="1:41" s="744" customFormat="1" ht="14.4" customHeight="1" thickBot="1" x14ac:dyDescent="0.35">
      <c r="A14" s="582"/>
      <c r="B14" s="583" t="s">
        <v>356</v>
      </c>
      <c r="C14" s="1625"/>
      <c r="D14" s="1625"/>
      <c r="E14" s="1625">
        <f>SUM('5.a.sz. melléklet'!E15)</f>
        <v>129565489</v>
      </c>
      <c r="F14" s="1625"/>
      <c r="G14" s="1625"/>
      <c r="H14" s="1625"/>
      <c r="I14" s="1625"/>
      <c r="J14" s="1625"/>
      <c r="K14" s="1626"/>
      <c r="L14" s="1627">
        <f>SUM(C14:K14)</f>
        <v>129565489</v>
      </c>
      <c r="M14" s="747"/>
      <c r="N14" s="587"/>
      <c r="O14" s="587"/>
      <c r="P14" s="587"/>
      <c r="Q14" s="587"/>
      <c r="R14" s="587"/>
      <c r="S14" s="587"/>
      <c r="T14" s="587"/>
      <c r="U14" s="587"/>
      <c r="V14" s="587"/>
      <c r="W14" s="587"/>
      <c r="X14" s="587"/>
      <c r="Y14" s="587"/>
      <c r="Z14" s="587"/>
      <c r="AA14" s="587"/>
      <c r="AB14" s="587"/>
      <c r="AC14" s="587"/>
      <c r="AD14" s="587"/>
      <c r="AE14" s="587"/>
      <c r="AF14" s="587"/>
      <c r="AG14" s="587"/>
      <c r="AH14" s="587"/>
      <c r="AI14" s="587"/>
      <c r="AJ14" s="587"/>
      <c r="AK14" s="587"/>
      <c r="AL14" s="587"/>
      <c r="AM14" s="587"/>
      <c r="AN14" s="587"/>
      <c r="AO14" s="587"/>
    </row>
    <row r="15" spans="1:41" ht="0.15" customHeight="1" thickBot="1" x14ac:dyDescent="0.35">
      <c r="A15" s="1238"/>
      <c r="B15" s="938" t="s">
        <v>357</v>
      </c>
      <c r="C15" s="1628"/>
      <c r="D15" s="1628"/>
      <c r="E15" s="1628">
        <f>SUM('5.a.sz. melléklet'!E16)</f>
        <v>110194</v>
      </c>
      <c r="F15" s="1628"/>
      <c r="G15" s="1628"/>
      <c r="H15" s="1628"/>
      <c r="I15" s="1628"/>
      <c r="J15" s="1628"/>
      <c r="K15" s="1629"/>
      <c r="L15" s="1630">
        <f>SUM(C15:K15)</f>
        <v>110194</v>
      </c>
      <c r="M15" s="747"/>
      <c r="N15" s="587"/>
      <c r="O15" s="587"/>
      <c r="P15" s="587"/>
      <c r="Q15" s="587"/>
      <c r="R15" s="587"/>
      <c r="S15" s="587"/>
      <c r="T15" s="587"/>
    </row>
    <row r="16" spans="1:41" s="783" customFormat="1" ht="0.15" customHeight="1" x14ac:dyDescent="0.3">
      <c r="A16" s="791"/>
      <c r="B16" s="792" t="s">
        <v>355</v>
      </c>
      <c r="C16" s="1631"/>
      <c r="D16" s="1631"/>
      <c r="E16" s="1631"/>
      <c r="F16" s="1631"/>
      <c r="G16" s="1631"/>
      <c r="H16" s="1631"/>
      <c r="I16" s="1631"/>
      <c r="J16" s="1631"/>
      <c r="K16" s="1632"/>
      <c r="L16" s="1633">
        <f>SUM(C16:K16)</f>
        <v>0</v>
      </c>
      <c r="M16" s="782"/>
    </row>
    <row r="17" spans="1:41" ht="14.4" customHeight="1" x14ac:dyDescent="0.3">
      <c r="A17" s="588" t="s">
        <v>284</v>
      </c>
      <c r="B17" s="586" t="s">
        <v>285</v>
      </c>
      <c r="C17" s="1622"/>
      <c r="D17" s="1622"/>
      <c r="E17" s="1622"/>
      <c r="F17" s="1622"/>
      <c r="G17" s="1622"/>
      <c r="H17" s="1622"/>
      <c r="I17" s="1622"/>
      <c r="J17" s="1622"/>
      <c r="K17" s="1623"/>
      <c r="L17" s="1634"/>
      <c r="M17" s="747"/>
      <c r="N17" s="587"/>
      <c r="O17" s="587"/>
      <c r="P17" s="587"/>
      <c r="Q17" s="587"/>
      <c r="R17" s="587"/>
      <c r="S17" s="587"/>
      <c r="T17" s="587"/>
    </row>
    <row r="18" spans="1:41" s="744" customFormat="1" ht="14.4" customHeight="1" thickBot="1" x14ac:dyDescent="0.35">
      <c r="A18" s="743"/>
      <c r="B18" s="583" t="s">
        <v>356</v>
      </c>
      <c r="C18" s="1625"/>
      <c r="D18" s="1625"/>
      <c r="E18" s="1625"/>
      <c r="F18" s="1625"/>
      <c r="G18" s="1625"/>
      <c r="H18" s="1625"/>
      <c r="I18" s="1625"/>
      <c r="J18" s="1625">
        <f>SUM('5.a.sz. melléklet'!J19)</f>
        <v>100000000</v>
      </c>
      <c r="K18" s="1626"/>
      <c r="L18" s="1627">
        <f>SUM(C18:K18)</f>
        <v>100000000</v>
      </c>
      <c r="M18" s="747"/>
      <c r="N18" s="587"/>
      <c r="O18" s="587"/>
      <c r="P18" s="587"/>
      <c r="Q18" s="587"/>
      <c r="R18" s="587"/>
      <c r="S18" s="587"/>
      <c r="T18" s="587"/>
      <c r="U18" s="587"/>
      <c r="V18" s="587"/>
      <c r="W18" s="587"/>
      <c r="X18" s="587"/>
      <c r="Y18" s="587"/>
      <c r="Z18" s="587"/>
      <c r="AA18" s="587"/>
      <c r="AB18" s="587"/>
      <c r="AC18" s="587"/>
      <c r="AD18" s="587"/>
      <c r="AE18" s="587"/>
      <c r="AF18" s="587"/>
      <c r="AG18" s="587"/>
      <c r="AH18" s="587"/>
      <c r="AI18" s="587"/>
      <c r="AJ18" s="587"/>
      <c r="AK18" s="587"/>
      <c r="AL18" s="587"/>
      <c r="AM18" s="587"/>
      <c r="AN18" s="587"/>
      <c r="AO18" s="587"/>
    </row>
    <row r="19" spans="1:41" ht="0.15" customHeight="1" thickBot="1" x14ac:dyDescent="0.35">
      <c r="A19" s="1239"/>
      <c r="B19" s="938" t="s">
        <v>357</v>
      </c>
      <c r="C19" s="1628"/>
      <c r="D19" s="1628"/>
      <c r="E19" s="1628"/>
      <c r="F19" s="1628"/>
      <c r="G19" s="1628"/>
      <c r="H19" s="1628"/>
      <c r="I19" s="1628"/>
      <c r="J19" s="1628">
        <f>SUM('5.a.sz. melléklet'!J20)+'13.sz.melléklet'!G35+'14.sz.melléklet'!F31</f>
        <v>100027575</v>
      </c>
      <c r="K19" s="1629"/>
      <c r="L19" s="1630">
        <f>SUM(C19:K19)</f>
        <v>100027575</v>
      </c>
      <c r="M19" s="747"/>
      <c r="N19" s="587"/>
      <c r="O19" s="587"/>
      <c r="P19" s="587"/>
      <c r="Q19" s="587"/>
      <c r="R19" s="587"/>
      <c r="S19" s="587"/>
      <c r="T19" s="587"/>
    </row>
    <row r="20" spans="1:41" s="783" customFormat="1" ht="0.15" customHeight="1" thickBot="1" x14ac:dyDescent="0.35">
      <c r="A20" s="796"/>
      <c r="B20" s="792" t="s">
        <v>355</v>
      </c>
      <c r="C20" s="1631"/>
      <c r="D20" s="1631"/>
      <c r="E20" s="1631"/>
      <c r="F20" s="1631"/>
      <c r="G20" s="1631"/>
      <c r="H20" s="1631"/>
      <c r="I20" s="1631"/>
      <c r="J20" s="1631"/>
      <c r="K20" s="1632"/>
      <c r="L20" s="1635"/>
      <c r="M20" s="782"/>
    </row>
    <row r="21" spans="1:41" ht="19.5" customHeight="1" x14ac:dyDescent="0.3">
      <c r="A21" s="580" t="s">
        <v>255</v>
      </c>
      <c r="B21" s="581" t="s">
        <v>161</v>
      </c>
      <c r="C21" s="1636"/>
      <c r="D21" s="1637"/>
      <c r="E21" s="1637"/>
      <c r="F21" s="1637"/>
      <c r="G21" s="1637"/>
      <c r="H21" s="1637"/>
      <c r="I21" s="1637"/>
      <c r="J21" s="1637"/>
      <c r="K21" s="1638"/>
      <c r="L21" s="1634"/>
      <c r="M21" s="747"/>
      <c r="N21" s="587"/>
      <c r="O21" s="587"/>
      <c r="P21" s="587"/>
      <c r="Q21" s="587"/>
      <c r="R21" s="587"/>
      <c r="S21" s="587"/>
      <c r="T21" s="587"/>
    </row>
    <row r="22" spans="1:41" s="744" customFormat="1" ht="14.4" customHeight="1" thickBot="1" x14ac:dyDescent="0.35">
      <c r="A22" s="582"/>
      <c r="B22" s="583" t="s">
        <v>356</v>
      </c>
      <c r="C22" s="1639">
        <f>SUM('5.a.sz. melléklet'!C37)</f>
        <v>8351000</v>
      </c>
      <c r="D22" s="1640"/>
      <c r="E22" s="1640"/>
      <c r="F22" s="1640"/>
      <c r="G22" s="1640"/>
      <c r="H22" s="1640"/>
      <c r="I22" s="1640"/>
      <c r="J22" s="1640"/>
      <c r="K22" s="1641"/>
      <c r="L22" s="1627">
        <f>SUM(C22:K22)</f>
        <v>8351000</v>
      </c>
      <c r="M22" s="747"/>
      <c r="N22" s="587"/>
      <c r="O22" s="587"/>
      <c r="P22" s="587"/>
      <c r="Q22" s="587"/>
      <c r="R22" s="587"/>
      <c r="S22" s="587"/>
      <c r="T22" s="587"/>
      <c r="U22" s="587"/>
      <c r="V22" s="587"/>
      <c r="W22" s="587"/>
      <c r="X22" s="587"/>
      <c r="Y22" s="587"/>
      <c r="Z22" s="587"/>
      <c r="AA22" s="587"/>
      <c r="AB22" s="587"/>
      <c r="AC22" s="587"/>
      <c r="AD22" s="587"/>
      <c r="AE22" s="587"/>
      <c r="AF22" s="587"/>
      <c r="AG22" s="587"/>
      <c r="AH22" s="587"/>
      <c r="AI22" s="587"/>
      <c r="AJ22" s="587"/>
      <c r="AK22" s="587"/>
      <c r="AL22" s="587"/>
      <c r="AM22" s="587"/>
      <c r="AN22" s="587"/>
      <c r="AO22" s="587"/>
    </row>
    <row r="23" spans="1:41" ht="0.15" customHeight="1" thickBot="1" x14ac:dyDescent="0.35">
      <c r="A23" s="1238"/>
      <c r="B23" s="938" t="s">
        <v>357</v>
      </c>
      <c r="C23" s="1642">
        <f>SUM('5.a.sz. melléklet'!C38)</f>
        <v>8351000</v>
      </c>
      <c r="D23" s="1643"/>
      <c r="E23" s="1643"/>
      <c r="F23" s="1643"/>
      <c r="G23" s="1643"/>
      <c r="H23" s="1643"/>
      <c r="I23" s="1643"/>
      <c r="J23" s="1643"/>
      <c r="K23" s="1644"/>
      <c r="L23" s="1630">
        <f>SUM(C23:K23)</f>
        <v>8351000</v>
      </c>
      <c r="M23" s="747"/>
      <c r="N23" s="587"/>
      <c r="O23" s="587"/>
      <c r="P23" s="587"/>
      <c r="Q23" s="587"/>
      <c r="R23" s="587"/>
      <c r="S23" s="587"/>
      <c r="T23" s="587"/>
    </row>
    <row r="24" spans="1:41" s="783" customFormat="1" ht="0.15" customHeight="1" x14ac:dyDescent="0.3">
      <c r="A24" s="791"/>
      <c r="B24" s="792" t="s">
        <v>355</v>
      </c>
      <c r="C24" s="1645"/>
      <c r="D24" s="1646"/>
      <c r="E24" s="1646"/>
      <c r="F24" s="1646"/>
      <c r="G24" s="1646"/>
      <c r="H24" s="1646"/>
      <c r="I24" s="1646"/>
      <c r="J24" s="1646"/>
      <c r="K24" s="1647"/>
      <c r="L24" s="1633">
        <f>SUM(C24:K24)</f>
        <v>0</v>
      </c>
      <c r="M24" s="782"/>
    </row>
    <row r="25" spans="1:41" ht="30" customHeight="1" x14ac:dyDescent="0.3">
      <c r="A25" s="580" t="s">
        <v>256</v>
      </c>
      <c r="B25" s="581" t="s">
        <v>282</v>
      </c>
      <c r="C25" s="1636"/>
      <c r="D25" s="1637"/>
      <c r="E25" s="1637"/>
      <c r="F25" s="1637"/>
      <c r="G25" s="1637"/>
      <c r="H25" s="1637"/>
      <c r="I25" s="1637"/>
      <c r="J25" s="1637"/>
      <c r="K25" s="1638"/>
      <c r="L25" s="1634"/>
      <c r="M25" s="747"/>
      <c r="N25" s="587"/>
      <c r="O25" s="587"/>
      <c r="P25" s="587"/>
      <c r="Q25" s="587"/>
      <c r="R25" s="587"/>
      <c r="S25" s="587"/>
      <c r="T25" s="587"/>
    </row>
    <row r="26" spans="1:41" s="744" customFormat="1" ht="14.25" customHeight="1" thickBot="1" x14ac:dyDescent="0.35">
      <c r="A26" s="582"/>
      <c r="B26" s="583" t="s">
        <v>356</v>
      </c>
      <c r="C26" s="1639">
        <f>SUM('5.a.sz. melléklet'!C41)</f>
        <v>8460000</v>
      </c>
      <c r="D26" s="1640"/>
      <c r="E26" s="1640"/>
      <c r="F26" s="1640"/>
      <c r="G26" s="1640"/>
      <c r="H26" s="1640"/>
      <c r="I26" s="1640"/>
      <c r="J26" s="1640"/>
      <c r="K26" s="1641"/>
      <c r="L26" s="1627">
        <f>SUM(C26:K26)</f>
        <v>8460000</v>
      </c>
      <c r="M26" s="747"/>
      <c r="N26" s="587"/>
      <c r="O26" s="587"/>
      <c r="P26" s="587"/>
      <c r="Q26" s="587"/>
      <c r="R26" s="587"/>
      <c r="S26" s="587"/>
      <c r="T26" s="587"/>
      <c r="U26" s="587"/>
      <c r="V26" s="587"/>
      <c r="W26" s="587"/>
      <c r="X26" s="587"/>
      <c r="Y26" s="587"/>
      <c r="Z26" s="587"/>
      <c r="AA26" s="587"/>
      <c r="AB26" s="587"/>
      <c r="AC26" s="587"/>
      <c r="AD26" s="587"/>
      <c r="AE26" s="587"/>
      <c r="AF26" s="587"/>
      <c r="AG26" s="587"/>
      <c r="AH26" s="587"/>
      <c r="AI26" s="587"/>
      <c r="AJ26" s="587"/>
      <c r="AK26" s="587"/>
      <c r="AL26" s="587"/>
      <c r="AM26" s="587"/>
      <c r="AN26" s="587"/>
      <c r="AO26" s="587"/>
    </row>
    <row r="27" spans="1:41" ht="0.15" customHeight="1" thickBot="1" x14ac:dyDescent="0.35">
      <c r="A27" s="1238"/>
      <c r="B27" s="938" t="s">
        <v>357</v>
      </c>
      <c r="C27" s="1642">
        <f>SUM('5.a.sz. melléklet'!C42)</f>
        <v>8460000</v>
      </c>
      <c r="D27" s="1643"/>
      <c r="E27" s="1643"/>
      <c r="F27" s="1643"/>
      <c r="G27" s="1643"/>
      <c r="H27" s="1648"/>
      <c r="I27" s="1643"/>
      <c r="J27" s="1643"/>
      <c r="K27" s="1644"/>
      <c r="L27" s="1630">
        <f>SUM(C27:K27)</f>
        <v>8460000</v>
      </c>
      <c r="M27" s="747"/>
      <c r="N27" s="587"/>
      <c r="O27" s="587"/>
      <c r="P27" s="587"/>
      <c r="Q27" s="587"/>
      <c r="R27" s="587"/>
      <c r="S27" s="587"/>
      <c r="T27" s="587"/>
    </row>
    <row r="28" spans="1:41" s="783" customFormat="1" ht="0.15" customHeight="1" x14ac:dyDescent="0.3">
      <c r="A28" s="791"/>
      <c r="B28" s="792" t="s">
        <v>355</v>
      </c>
      <c r="C28" s="1645"/>
      <c r="D28" s="1646"/>
      <c r="E28" s="1646"/>
      <c r="F28" s="1646"/>
      <c r="G28" s="1646"/>
      <c r="H28" s="1649"/>
      <c r="I28" s="1646"/>
      <c r="J28" s="1646"/>
      <c r="K28" s="1647"/>
      <c r="L28" s="1633">
        <f>SUM(C28:K28)</f>
        <v>0</v>
      </c>
      <c r="M28" s="782"/>
    </row>
    <row r="29" spans="1:41" s="1618" customFormat="1" ht="27.6" x14ac:dyDescent="0.3">
      <c r="A29" s="2083" t="s">
        <v>247</v>
      </c>
      <c r="B29" s="2074" t="s">
        <v>291</v>
      </c>
      <c r="C29" s="2084"/>
      <c r="D29" s="2085"/>
      <c r="E29" s="2085"/>
      <c r="F29" s="2085"/>
      <c r="G29" s="2085"/>
      <c r="H29" s="2086"/>
      <c r="I29" s="2085"/>
      <c r="J29" s="2085"/>
      <c r="K29" s="2087"/>
      <c r="L29" s="1669"/>
      <c r="M29" s="1617"/>
    </row>
    <row r="30" spans="1:41" s="1618" customFormat="1" ht="14.25" customHeight="1" thickBot="1" x14ac:dyDescent="0.35">
      <c r="A30" s="1615"/>
      <c r="B30" s="1616" t="s">
        <v>356</v>
      </c>
      <c r="C30" s="2088">
        <f>SUM('16.sz. melléklet'!C38)</f>
        <v>267000</v>
      </c>
      <c r="D30" s="2089"/>
      <c r="E30" s="2089"/>
      <c r="F30" s="2089"/>
      <c r="G30" s="2089"/>
      <c r="H30" s="2090"/>
      <c r="I30" s="2089"/>
      <c r="J30" s="2089"/>
      <c r="K30" s="2091"/>
      <c r="L30" s="1659">
        <f>SUM(C30:K30)</f>
        <v>267000</v>
      </c>
      <c r="M30" s="1617"/>
    </row>
    <row r="31" spans="1:41" ht="14.25" customHeight="1" x14ac:dyDescent="0.3">
      <c r="A31" s="965" t="s">
        <v>258</v>
      </c>
      <c r="B31" s="741" t="s">
        <v>259</v>
      </c>
      <c r="C31" s="1670"/>
      <c r="D31" s="1670"/>
      <c r="E31" s="1670"/>
      <c r="F31" s="1670"/>
      <c r="G31" s="1670"/>
      <c r="H31" s="1670"/>
      <c r="I31" s="1670"/>
      <c r="J31" s="1670"/>
      <c r="K31" s="1671"/>
      <c r="L31" s="1634"/>
      <c r="M31" s="747"/>
      <c r="N31" s="587"/>
      <c r="O31" s="587"/>
      <c r="P31" s="587"/>
      <c r="Q31" s="587"/>
      <c r="R31" s="587"/>
      <c r="S31" s="587"/>
      <c r="T31" s="587"/>
    </row>
    <row r="32" spans="1:41" s="744" customFormat="1" ht="14.25" customHeight="1" thickBot="1" x14ac:dyDescent="0.35">
      <c r="A32" s="582"/>
      <c r="B32" s="583" t="s">
        <v>356</v>
      </c>
      <c r="C32" s="1625">
        <f>SUM('5.a.sz. melléklet'!C47)</f>
        <v>1016000</v>
      </c>
      <c r="D32" s="1625"/>
      <c r="E32" s="1625"/>
      <c r="F32" s="1625"/>
      <c r="G32" s="1625"/>
      <c r="H32" s="1625"/>
      <c r="I32" s="1625"/>
      <c r="J32" s="1625"/>
      <c r="K32" s="1626"/>
      <c r="L32" s="1627">
        <f>SUM(C32:K32)</f>
        <v>1016000</v>
      </c>
      <c r="M32" s="747"/>
      <c r="N32" s="587"/>
      <c r="O32" s="587"/>
      <c r="P32" s="587"/>
      <c r="Q32" s="587"/>
      <c r="R32" s="587"/>
      <c r="S32" s="587"/>
      <c r="T32" s="587"/>
      <c r="U32" s="587"/>
      <c r="V32" s="587"/>
      <c r="W32" s="587"/>
      <c r="X32" s="587"/>
      <c r="Y32" s="587"/>
      <c r="Z32" s="587"/>
      <c r="AA32" s="587"/>
      <c r="AB32" s="587"/>
      <c r="AC32" s="587"/>
      <c r="AD32" s="587"/>
      <c r="AE32" s="587"/>
      <c r="AF32" s="587"/>
      <c r="AG32" s="587"/>
      <c r="AH32" s="587"/>
      <c r="AI32" s="587"/>
      <c r="AJ32" s="587"/>
      <c r="AK32" s="587"/>
      <c r="AL32" s="587"/>
      <c r="AM32" s="587"/>
      <c r="AN32" s="587"/>
      <c r="AO32" s="587"/>
    </row>
    <row r="33" spans="1:41" ht="0.15" customHeight="1" thickBot="1" x14ac:dyDescent="0.35">
      <c r="A33" s="1238"/>
      <c r="B33" s="938" t="s">
        <v>357</v>
      </c>
      <c r="C33" s="1628"/>
      <c r="D33" s="1628"/>
      <c r="E33" s="1628"/>
      <c r="F33" s="1628"/>
      <c r="G33" s="1628"/>
      <c r="H33" s="1628"/>
      <c r="I33" s="1628"/>
      <c r="J33" s="1628"/>
      <c r="K33" s="1629"/>
      <c r="L33" s="1630">
        <f>SUM(C33:K33)</f>
        <v>0</v>
      </c>
      <c r="M33" s="747"/>
      <c r="N33" s="587"/>
      <c r="O33" s="587"/>
      <c r="P33" s="587"/>
      <c r="Q33" s="587"/>
      <c r="R33" s="587"/>
      <c r="S33" s="587"/>
      <c r="T33" s="587"/>
    </row>
    <row r="34" spans="1:41" s="783" customFormat="1" ht="0.15" customHeight="1" x14ac:dyDescent="0.3">
      <c r="A34" s="791"/>
      <c r="B34" s="792" t="s">
        <v>355</v>
      </c>
      <c r="C34" s="1631"/>
      <c r="D34" s="1631"/>
      <c r="E34" s="1631"/>
      <c r="F34" s="1631"/>
      <c r="G34" s="1631"/>
      <c r="H34" s="1631"/>
      <c r="I34" s="1631"/>
      <c r="J34" s="1631"/>
      <c r="K34" s="1632"/>
      <c r="L34" s="1633">
        <f>SUM(C34:K34)</f>
        <v>0</v>
      </c>
      <c r="M34" s="782"/>
    </row>
    <row r="35" spans="1:41" ht="14.4" customHeight="1" x14ac:dyDescent="0.3">
      <c r="A35" s="580" t="s">
        <v>260</v>
      </c>
      <c r="B35" s="581" t="s">
        <v>110</v>
      </c>
      <c r="C35" s="1622"/>
      <c r="D35" s="1622"/>
      <c r="E35" s="1622"/>
      <c r="F35" s="1622"/>
      <c r="G35" s="1622"/>
      <c r="H35" s="1622"/>
      <c r="I35" s="1622"/>
      <c r="J35" s="1622"/>
      <c r="K35" s="1623"/>
      <c r="L35" s="1634"/>
      <c r="M35" s="747"/>
      <c r="N35" s="587"/>
      <c r="O35" s="587"/>
      <c r="P35" s="587"/>
      <c r="Q35" s="587"/>
      <c r="R35" s="587"/>
      <c r="S35" s="587"/>
      <c r="T35" s="587"/>
    </row>
    <row r="36" spans="1:41" s="744" customFormat="1" ht="14.4" customHeight="1" thickBot="1" x14ac:dyDescent="0.35">
      <c r="A36" s="582"/>
      <c r="B36" s="583" t="s">
        <v>356</v>
      </c>
      <c r="C36" s="1625">
        <f>SUM('5.a.sz. melléklet'!C51)</f>
        <v>762000</v>
      </c>
      <c r="D36" s="1625"/>
      <c r="E36" s="1625"/>
      <c r="F36" s="1625"/>
      <c r="G36" s="1625"/>
      <c r="H36" s="1625"/>
      <c r="I36" s="1625"/>
      <c r="J36" s="1625"/>
      <c r="K36" s="1626"/>
      <c r="L36" s="1627">
        <f>SUM(C36:K36)</f>
        <v>762000</v>
      </c>
      <c r="M36" s="747"/>
      <c r="N36" s="587"/>
      <c r="O36" s="587"/>
      <c r="P36" s="587"/>
      <c r="Q36" s="587"/>
      <c r="R36" s="587"/>
      <c r="S36" s="587"/>
      <c r="T36" s="587"/>
      <c r="U36" s="587"/>
      <c r="V36" s="587"/>
      <c r="W36" s="587"/>
      <c r="X36" s="587"/>
      <c r="Y36" s="587"/>
      <c r="Z36" s="587"/>
      <c r="AA36" s="587"/>
      <c r="AB36" s="587"/>
      <c r="AC36" s="587"/>
      <c r="AD36" s="587"/>
      <c r="AE36" s="587"/>
      <c r="AF36" s="587"/>
      <c r="AG36" s="587"/>
      <c r="AH36" s="587"/>
      <c r="AI36" s="587"/>
      <c r="AJ36" s="587"/>
      <c r="AK36" s="587"/>
      <c r="AL36" s="587"/>
      <c r="AM36" s="587"/>
      <c r="AN36" s="587"/>
      <c r="AO36" s="587"/>
    </row>
    <row r="37" spans="1:41" ht="0.15" customHeight="1" thickBot="1" x14ac:dyDescent="0.35">
      <c r="A37" s="1238"/>
      <c r="B37" s="938" t="s">
        <v>357</v>
      </c>
      <c r="C37" s="1628">
        <f>SUM('5.a.sz. melléklet'!C52)</f>
        <v>762000</v>
      </c>
      <c r="D37" s="1628"/>
      <c r="E37" s="1628"/>
      <c r="F37" s="1628"/>
      <c r="G37" s="1628"/>
      <c r="H37" s="1628"/>
      <c r="I37" s="1628"/>
      <c r="J37" s="1628"/>
      <c r="K37" s="1629"/>
      <c r="L37" s="1630">
        <f>SUM(C37:K37)</f>
        <v>762000</v>
      </c>
      <c r="M37" s="747"/>
      <c r="N37" s="587"/>
      <c r="O37" s="587"/>
      <c r="P37" s="587"/>
      <c r="Q37" s="587"/>
      <c r="R37" s="587"/>
      <c r="S37" s="587"/>
      <c r="T37" s="587"/>
    </row>
    <row r="38" spans="1:41" s="783" customFormat="1" ht="0.15" customHeight="1" x14ac:dyDescent="0.3">
      <c r="A38" s="791"/>
      <c r="B38" s="792" t="s">
        <v>355</v>
      </c>
      <c r="C38" s="1631"/>
      <c r="D38" s="1631"/>
      <c r="E38" s="1631"/>
      <c r="F38" s="1631"/>
      <c r="G38" s="1631"/>
      <c r="H38" s="1631"/>
      <c r="I38" s="1631"/>
      <c r="J38" s="1631"/>
      <c r="K38" s="1632"/>
      <c r="L38" s="1633">
        <f>SUM(C38:K38)</f>
        <v>0</v>
      </c>
      <c r="M38" s="782"/>
    </row>
    <row r="39" spans="1:41" ht="27.6" x14ac:dyDescent="0.3">
      <c r="A39" s="580" t="s">
        <v>261</v>
      </c>
      <c r="B39" s="581" t="s">
        <v>163</v>
      </c>
      <c r="C39" s="1622"/>
      <c r="D39" s="1622"/>
      <c r="E39" s="1622"/>
      <c r="F39" s="1622"/>
      <c r="G39" s="1622"/>
      <c r="H39" s="1622"/>
      <c r="I39" s="1622"/>
      <c r="J39" s="1622"/>
      <c r="K39" s="1623"/>
      <c r="L39" s="1634"/>
      <c r="M39" s="747"/>
      <c r="N39" s="587"/>
      <c r="O39" s="587"/>
      <c r="P39" s="587"/>
      <c r="Q39" s="587"/>
      <c r="R39" s="587"/>
      <c r="S39" s="587"/>
      <c r="T39" s="587"/>
    </row>
    <row r="40" spans="1:41" s="744" customFormat="1" ht="14.4" customHeight="1" thickBot="1" x14ac:dyDescent="0.35">
      <c r="A40" s="582"/>
      <c r="B40" s="583" t="s">
        <v>356</v>
      </c>
      <c r="C40" s="1625"/>
      <c r="D40" s="1625"/>
      <c r="E40" s="1625"/>
      <c r="F40" s="1625">
        <f>SUM('5.a.sz. melléklet'!F55)</f>
        <v>11007600</v>
      </c>
      <c r="G40" s="1625"/>
      <c r="H40" s="1625"/>
      <c r="I40" s="1625"/>
      <c r="J40" s="1625"/>
      <c r="K40" s="1626"/>
      <c r="L40" s="1627">
        <f>SUM(C40:K40)</f>
        <v>11007600</v>
      </c>
      <c r="M40" s="747"/>
      <c r="N40" s="587"/>
      <c r="O40" s="587"/>
      <c r="P40" s="587"/>
      <c r="Q40" s="587"/>
      <c r="R40" s="587"/>
      <c r="S40" s="587"/>
      <c r="T40" s="587"/>
      <c r="U40" s="587"/>
      <c r="V40" s="587"/>
      <c r="W40" s="587"/>
      <c r="X40" s="587"/>
      <c r="Y40" s="587"/>
      <c r="Z40" s="587"/>
      <c r="AA40" s="587"/>
      <c r="AB40" s="587"/>
      <c r="AC40" s="587"/>
      <c r="AD40" s="587"/>
      <c r="AE40" s="587"/>
      <c r="AF40" s="587"/>
      <c r="AG40" s="587"/>
      <c r="AH40" s="587"/>
      <c r="AI40" s="587"/>
      <c r="AJ40" s="587"/>
      <c r="AK40" s="587"/>
      <c r="AL40" s="587"/>
      <c r="AM40" s="587"/>
      <c r="AN40" s="587"/>
      <c r="AO40" s="587"/>
    </row>
    <row r="41" spans="1:41" ht="0.15" customHeight="1" thickBot="1" x14ac:dyDescent="0.35">
      <c r="A41" s="1238"/>
      <c r="B41" s="938" t="s">
        <v>357</v>
      </c>
      <c r="C41" s="1628"/>
      <c r="D41" s="1628"/>
      <c r="E41" s="1628"/>
      <c r="F41" s="1628">
        <f>SUM('5.a.sz. melléklet'!F56)</f>
        <v>11007600</v>
      </c>
      <c r="G41" s="1628"/>
      <c r="H41" s="1628"/>
      <c r="I41" s="1628"/>
      <c r="J41" s="1628"/>
      <c r="K41" s="1629"/>
      <c r="L41" s="1630">
        <f>SUM(C41:K41)</f>
        <v>11007600</v>
      </c>
      <c r="M41" s="747"/>
      <c r="N41" s="587"/>
      <c r="O41" s="587"/>
      <c r="P41" s="587"/>
      <c r="Q41" s="587"/>
      <c r="R41" s="587"/>
      <c r="S41" s="587"/>
      <c r="T41" s="587"/>
    </row>
    <row r="42" spans="1:41" s="783" customFormat="1" ht="0.15" customHeight="1" x14ac:dyDescent="0.3">
      <c r="A42" s="791"/>
      <c r="B42" s="792" t="s">
        <v>355</v>
      </c>
      <c r="C42" s="1631"/>
      <c r="D42" s="1631"/>
      <c r="E42" s="1631"/>
      <c r="F42" s="1631"/>
      <c r="G42" s="1631"/>
      <c r="H42" s="1631"/>
      <c r="I42" s="1631"/>
      <c r="J42" s="1631"/>
      <c r="K42" s="1632"/>
      <c r="L42" s="1633">
        <f>SUM(C42:K42)</f>
        <v>0</v>
      </c>
      <c r="M42" s="782"/>
    </row>
    <row r="43" spans="1:41" ht="14.4" customHeight="1" x14ac:dyDescent="0.3">
      <c r="A43" s="580" t="s">
        <v>262</v>
      </c>
      <c r="B43" s="581" t="s">
        <v>308</v>
      </c>
      <c r="C43" s="1622"/>
      <c r="D43" s="1622"/>
      <c r="E43" s="1622"/>
      <c r="F43" s="1622"/>
      <c r="G43" s="1622"/>
      <c r="H43" s="1622"/>
      <c r="I43" s="1622"/>
      <c r="J43" s="1622"/>
      <c r="K43" s="1623"/>
      <c r="L43" s="1634"/>
      <c r="M43" s="747"/>
      <c r="N43" s="587"/>
      <c r="O43" s="587"/>
      <c r="P43" s="587"/>
      <c r="Q43" s="587"/>
      <c r="R43" s="587"/>
      <c r="S43" s="587"/>
      <c r="T43" s="587"/>
    </row>
    <row r="44" spans="1:41" s="744" customFormat="1" ht="14.4" customHeight="1" thickBot="1" x14ac:dyDescent="0.35">
      <c r="A44" s="582"/>
      <c r="B44" s="583" t="s">
        <v>356</v>
      </c>
      <c r="C44" s="1625"/>
      <c r="D44" s="1625"/>
      <c r="E44" s="1625"/>
      <c r="F44" s="1625">
        <f>SUM('5.a.sz. melléklet'!F59)</f>
        <v>330000</v>
      </c>
      <c r="G44" s="1625"/>
      <c r="H44" s="1625"/>
      <c r="I44" s="1625"/>
      <c r="J44" s="1625"/>
      <c r="K44" s="1626"/>
      <c r="L44" s="1627">
        <f>SUM(C44:K44)</f>
        <v>330000</v>
      </c>
      <c r="M44" s="747"/>
      <c r="N44" s="587"/>
      <c r="O44" s="587"/>
      <c r="P44" s="587"/>
      <c r="Q44" s="587"/>
      <c r="R44" s="587"/>
      <c r="S44" s="587"/>
      <c r="T44" s="587"/>
      <c r="U44" s="587"/>
      <c r="V44" s="587"/>
      <c r="W44" s="587"/>
      <c r="X44" s="587"/>
      <c r="Y44" s="587"/>
      <c r="Z44" s="587"/>
      <c r="AA44" s="587"/>
      <c r="AB44" s="587"/>
      <c r="AC44" s="587"/>
      <c r="AD44" s="587"/>
      <c r="AE44" s="587"/>
      <c r="AF44" s="587"/>
      <c r="AG44" s="587"/>
      <c r="AH44" s="587"/>
      <c r="AI44" s="587"/>
      <c r="AJ44" s="587"/>
      <c r="AK44" s="587"/>
      <c r="AL44" s="587"/>
      <c r="AM44" s="587"/>
      <c r="AN44" s="587"/>
      <c r="AO44" s="587"/>
    </row>
    <row r="45" spans="1:41" ht="0.15" customHeight="1" thickBot="1" x14ac:dyDescent="0.35">
      <c r="A45" s="1238"/>
      <c r="B45" s="938" t="s">
        <v>357</v>
      </c>
      <c r="C45" s="1628"/>
      <c r="D45" s="1628"/>
      <c r="E45" s="1628"/>
      <c r="F45" s="1628">
        <f>SUM('5.a.sz. melléklet'!F60)</f>
        <v>330000</v>
      </c>
      <c r="G45" s="1628"/>
      <c r="H45" s="1628"/>
      <c r="I45" s="1628"/>
      <c r="J45" s="1628"/>
      <c r="K45" s="1629"/>
      <c r="L45" s="1630">
        <f>SUM(C45:K45)</f>
        <v>330000</v>
      </c>
      <c r="M45" s="747"/>
      <c r="N45" s="587"/>
      <c r="O45" s="587"/>
      <c r="P45" s="587"/>
      <c r="Q45" s="587"/>
      <c r="R45" s="587"/>
      <c r="S45" s="587"/>
      <c r="T45" s="587"/>
    </row>
    <row r="46" spans="1:41" s="783" customFormat="1" ht="0.15" customHeight="1" x14ac:dyDescent="0.3">
      <c r="A46" s="791"/>
      <c r="B46" s="792" t="s">
        <v>355</v>
      </c>
      <c r="C46" s="1631"/>
      <c r="D46" s="1631"/>
      <c r="E46" s="1631"/>
      <c r="F46" s="1631"/>
      <c r="G46" s="1631"/>
      <c r="H46" s="1631"/>
      <c r="I46" s="1631"/>
      <c r="J46" s="1631"/>
      <c r="K46" s="1632"/>
      <c r="L46" s="1633">
        <f>SUM(C46:K46)</f>
        <v>0</v>
      </c>
      <c r="M46" s="782"/>
    </row>
    <row r="47" spans="1:41" ht="14.4" customHeight="1" x14ac:dyDescent="0.3">
      <c r="A47" s="584" t="s">
        <v>239</v>
      </c>
      <c r="B47" s="581" t="s">
        <v>3</v>
      </c>
      <c r="C47" s="1622"/>
      <c r="D47" s="1622"/>
      <c r="E47" s="1622"/>
      <c r="F47" s="1622"/>
      <c r="G47" s="1622"/>
      <c r="H47" s="1622"/>
      <c r="I47" s="1622"/>
      <c r="J47" s="1622"/>
      <c r="K47" s="1623"/>
      <c r="L47" s="1634"/>
      <c r="M47" s="747"/>
      <c r="N47" s="587"/>
      <c r="O47" s="587"/>
      <c r="P47" s="587"/>
      <c r="Q47" s="587"/>
      <c r="R47" s="587"/>
      <c r="S47" s="587"/>
      <c r="T47" s="587"/>
    </row>
    <row r="48" spans="1:41" s="744" customFormat="1" ht="14.4" customHeight="1" thickBot="1" x14ac:dyDescent="0.35">
      <c r="A48" s="585"/>
      <c r="B48" s="583" t="s">
        <v>356</v>
      </c>
      <c r="C48" s="1625">
        <f>SUM('15.sz.melléklet'!C34)</f>
        <v>205000</v>
      </c>
      <c r="D48" s="1625"/>
      <c r="E48" s="1625"/>
      <c r="F48" s="1625"/>
      <c r="G48" s="1625"/>
      <c r="H48" s="1625"/>
      <c r="I48" s="1625"/>
      <c r="J48" s="1625"/>
      <c r="K48" s="1626"/>
      <c r="L48" s="1627">
        <f>SUM(C48:K48)</f>
        <v>205000</v>
      </c>
      <c r="M48" s="747"/>
      <c r="N48" s="587"/>
      <c r="O48" s="587"/>
      <c r="P48" s="587"/>
      <c r="Q48" s="587"/>
      <c r="R48" s="587"/>
      <c r="S48" s="587"/>
      <c r="T48" s="587"/>
      <c r="U48" s="587"/>
      <c r="V48" s="587"/>
      <c r="W48" s="587"/>
      <c r="X48" s="587"/>
      <c r="Y48" s="587"/>
      <c r="Z48" s="587"/>
      <c r="AA48" s="587"/>
      <c r="AB48" s="587"/>
      <c r="AC48" s="587"/>
      <c r="AD48" s="587"/>
      <c r="AE48" s="587"/>
      <c r="AF48" s="587"/>
      <c r="AG48" s="587"/>
      <c r="AH48" s="587"/>
      <c r="AI48" s="587"/>
      <c r="AJ48" s="587"/>
      <c r="AK48" s="587"/>
      <c r="AL48" s="587"/>
      <c r="AM48" s="587"/>
      <c r="AN48" s="587"/>
      <c r="AO48" s="587"/>
    </row>
    <row r="49" spans="1:41" ht="0.15" customHeight="1" thickBot="1" x14ac:dyDescent="0.35">
      <c r="A49" s="937"/>
      <c r="B49" s="938" t="s">
        <v>357</v>
      </c>
      <c r="C49" s="1628">
        <f>SUM('15.sz.melléklet'!C35)</f>
        <v>205000</v>
      </c>
      <c r="D49" s="1628"/>
      <c r="E49" s="1628"/>
      <c r="F49" s="1628"/>
      <c r="G49" s="1628"/>
      <c r="H49" s="1628"/>
      <c r="I49" s="1628"/>
      <c r="J49" s="1628"/>
      <c r="K49" s="1629"/>
      <c r="L49" s="1630">
        <f>SUM(C49:K49)</f>
        <v>205000</v>
      </c>
      <c r="M49" s="747"/>
      <c r="N49" s="587"/>
      <c r="O49" s="587"/>
      <c r="P49" s="587"/>
      <c r="Q49" s="587"/>
      <c r="R49" s="587"/>
      <c r="S49" s="587"/>
      <c r="T49" s="587"/>
    </row>
    <row r="50" spans="1:41" s="783" customFormat="1" ht="0.15" customHeight="1" x14ac:dyDescent="0.3">
      <c r="A50" s="793"/>
      <c r="B50" s="792" t="s">
        <v>355</v>
      </c>
      <c r="C50" s="1631"/>
      <c r="D50" s="1631"/>
      <c r="E50" s="1631"/>
      <c r="F50" s="1631"/>
      <c r="G50" s="1631"/>
      <c r="H50" s="1631"/>
      <c r="I50" s="1631"/>
      <c r="J50" s="1631"/>
      <c r="K50" s="1632"/>
      <c r="L50" s="1633">
        <f>SUM(C50:K50)</f>
        <v>0</v>
      </c>
      <c r="M50" s="782"/>
    </row>
    <row r="51" spans="1:41" ht="27.6" x14ac:dyDescent="0.3">
      <c r="A51" s="584" t="s">
        <v>240</v>
      </c>
      <c r="B51" s="581" t="s">
        <v>98</v>
      </c>
      <c r="C51" s="1622"/>
      <c r="D51" s="1622"/>
      <c r="E51" s="1622"/>
      <c r="F51" s="1622"/>
      <c r="G51" s="1622"/>
      <c r="H51" s="1622"/>
      <c r="I51" s="1622"/>
      <c r="J51" s="1622"/>
      <c r="K51" s="1623"/>
      <c r="L51" s="1634"/>
      <c r="M51" s="747"/>
      <c r="N51" s="587"/>
      <c r="O51" s="587"/>
      <c r="P51" s="587"/>
      <c r="Q51" s="587"/>
      <c r="R51" s="587"/>
      <c r="S51" s="587"/>
      <c r="T51" s="587"/>
    </row>
    <row r="52" spans="1:41" s="744" customFormat="1" ht="14.4" customHeight="1" thickBot="1" x14ac:dyDescent="0.35">
      <c r="A52" s="585"/>
      <c r="B52" s="583" t="s">
        <v>356</v>
      </c>
      <c r="C52" s="1625">
        <f>SUM('15.sz.melléklet'!C30)</f>
        <v>6650000</v>
      </c>
      <c r="D52" s="1625"/>
      <c r="E52" s="1625"/>
      <c r="F52" s="1625">
        <f>SUM('15.sz.melléklet'!E30)</f>
        <v>1300000</v>
      </c>
      <c r="G52" s="1625"/>
      <c r="H52" s="1625"/>
      <c r="I52" s="1625"/>
      <c r="J52" s="1625"/>
      <c r="K52" s="1626"/>
      <c r="L52" s="1650">
        <f>SUM(C52:K52)</f>
        <v>7950000</v>
      </c>
      <c r="M52" s="747"/>
      <c r="N52" s="587"/>
      <c r="O52" s="587"/>
      <c r="P52" s="587"/>
      <c r="Q52" s="587"/>
      <c r="R52" s="587"/>
      <c r="S52" s="587"/>
      <c r="T52" s="587"/>
      <c r="U52" s="587"/>
      <c r="V52" s="587"/>
      <c r="W52" s="587"/>
      <c r="X52" s="587"/>
      <c r="Y52" s="587"/>
      <c r="Z52" s="587"/>
      <c r="AA52" s="587"/>
      <c r="AB52" s="587"/>
      <c r="AC52" s="587"/>
      <c r="AD52" s="587"/>
      <c r="AE52" s="587"/>
      <c r="AF52" s="587"/>
      <c r="AG52" s="587"/>
      <c r="AH52" s="587"/>
      <c r="AI52" s="587"/>
      <c r="AJ52" s="587"/>
      <c r="AK52" s="587"/>
      <c r="AL52" s="587"/>
      <c r="AM52" s="587"/>
      <c r="AN52" s="587"/>
      <c r="AO52" s="587"/>
    </row>
    <row r="53" spans="1:41" ht="0.15" customHeight="1" thickBot="1" x14ac:dyDescent="0.35">
      <c r="A53" s="937"/>
      <c r="B53" s="938" t="s">
        <v>357</v>
      </c>
      <c r="C53" s="1628">
        <f>SUM('15.sz.melléklet'!C31)</f>
        <v>6650000</v>
      </c>
      <c r="D53" s="1628"/>
      <c r="E53" s="1628"/>
      <c r="F53" s="1628"/>
      <c r="G53" s="1628"/>
      <c r="H53" s="1628"/>
      <c r="I53" s="1628"/>
      <c r="J53" s="1628"/>
      <c r="K53" s="1629"/>
      <c r="L53" s="1630">
        <f>SUM(C53:K53)</f>
        <v>6650000</v>
      </c>
      <c r="M53" s="747"/>
      <c r="N53" s="587"/>
      <c r="O53" s="587"/>
      <c r="P53" s="587"/>
      <c r="Q53" s="587"/>
      <c r="R53" s="587"/>
      <c r="S53" s="587"/>
      <c r="T53" s="587"/>
    </row>
    <row r="54" spans="1:41" s="783" customFormat="1" ht="0.15" customHeight="1" thickBot="1" x14ac:dyDescent="0.35">
      <c r="A54" s="793"/>
      <c r="B54" s="792" t="s">
        <v>355</v>
      </c>
      <c r="C54" s="1631"/>
      <c r="D54" s="1631"/>
      <c r="E54" s="1631"/>
      <c r="F54" s="1631"/>
      <c r="G54" s="1631"/>
      <c r="H54" s="1631"/>
      <c r="I54" s="1631"/>
      <c r="J54" s="1631"/>
      <c r="K54" s="1632"/>
      <c r="L54" s="1633">
        <f>SUM(C54:K54)</f>
        <v>0</v>
      </c>
      <c r="M54" s="782"/>
    </row>
    <row r="55" spans="1:41" ht="15" customHeight="1" x14ac:dyDescent="0.3">
      <c r="A55" s="584" t="s">
        <v>265</v>
      </c>
      <c r="B55" s="581" t="s">
        <v>266</v>
      </c>
      <c r="C55" s="1622"/>
      <c r="D55" s="1622"/>
      <c r="E55" s="1622"/>
      <c r="F55" s="1622"/>
      <c r="G55" s="1622"/>
      <c r="H55" s="1622"/>
      <c r="I55" s="1622"/>
      <c r="J55" s="1622"/>
      <c r="K55" s="1623"/>
      <c r="L55" s="1624"/>
      <c r="M55" s="747"/>
      <c r="N55" s="587"/>
      <c r="O55" s="587"/>
      <c r="P55" s="587"/>
      <c r="Q55" s="587"/>
      <c r="R55" s="587"/>
      <c r="S55" s="587"/>
      <c r="T55" s="587"/>
    </row>
    <row r="56" spans="1:41" s="744" customFormat="1" ht="15" customHeight="1" thickBot="1" x14ac:dyDescent="0.35">
      <c r="A56" s="585"/>
      <c r="B56" s="583" t="s">
        <v>356</v>
      </c>
      <c r="C56" s="1625">
        <f>SUM('5.a.sz. melléklet'!C63)</f>
        <v>508000</v>
      </c>
      <c r="D56" s="1625"/>
      <c r="E56" s="1625"/>
      <c r="F56" s="1625"/>
      <c r="G56" s="1625"/>
      <c r="H56" s="1625"/>
      <c r="I56" s="1625"/>
      <c r="J56" s="1625"/>
      <c r="K56" s="1626"/>
      <c r="L56" s="1650">
        <f>SUM(C56:K56)</f>
        <v>508000</v>
      </c>
      <c r="M56" s="747"/>
      <c r="N56" s="587"/>
      <c r="O56" s="587"/>
      <c r="P56" s="587"/>
      <c r="Q56" s="587"/>
      <c r="R56" s="587"/>
      <c r="S56" s="587"/>
      <c r="T56" s="587"/>
      <c r="U56" s="587"/>
      <c r="V56" s="587"/>
      <c r="W56" s="587"/>
      <c r="X56" s="587"/>
      <c r="Y56" s="587"/>
      <c r="Z56" s="587"/>
      <c r="AA56" s="587"/>
      <c r="AB56" s="587"/>
      <c r="AC56" s="587"/>
      <c r="AD56" s="587"/>
      <c r="AE56" s="587"/>
      <c r="AF56" s="587"/>
      <c r="AG56" s="587"/>
      <c r="AH56" s="587"/>
      <c r="AI56" s="587"/>
      <c r="AJ56" s="587"/>
      <c r="AK56" s="587"/>
      <c r="AL56" s="587"/>
      <c r="AM56" s="587"/>
      <c r="AN56" s="587"/>
      <c r="AO56" s="587"/>
    </row>
    <row r="57" spans="1:41" ht="0.15" customHeight="1" thickBot="1" x14ac:dyDescent="0.35">
      <c r="A57" s="937"/>
      <c r="B57" s="938" t="s">
        <v>357</v>
      </c>
      <c r="C57" s="1628">
        <f>SUM('5.a.sz. melléklet'!C64)</f>
        <v>508000</v>
      </c>
      <c r="D57" s="1628"/>
      <c r="E57" s="1628"/>
      <c r="F57" s="1628"/>
      <c r="G57" s="1628"/>
      <c r="H57" s="1628"/>
      <c r="I57" s="1628"/>
      <c r="J57" s="1628"/>
      <c r="K57" s="1629"/>
      <c r="L57" s="1630">
        <f>SUM(C57:K57)</f>
        <v>508000</v>
      </c>
      <c r="M57" s="747"/>
      <c r="N57" s="587"/>
      <c r="O57" s="587"/>
      <c r="P57" s="587"/>
      <c r="Q57" s="587"/>
      <c r="R57" s="587"/>
      <c r="S57" s="587"/>
      <c r="T57" s="587"/>
    </row>
    <row r="58" spans="1:41" s="783" customFormat="1" ht="0.15" customHeight="1" x14ac:dyDescent="0.3">
      <c r="A58" s="1041"/>
      <c r="B58" s="1013" t="s">
        <v>355</v>
      </c>
      <c r="C58" s="1651"/>
      <c r="D58" s="1651"/>
      <c r="E58" s="1651"/>
      <c r="F58" s="1651"/>
      <c r="G58" s="1651"/>
      <c r="H58" s="1651"/>
      <c r="I58" s="1651"/>
      <c r="J58" s="1651"/>
      <c r="K58" s="1652"/>
      <c r="L58" s="1653">
        <f>SUM(C58:K58)</f>
        <v>0</v>
      </c>
      <c r="M58" s="782"/>
    </row>
    <row r="59" spans="1:41" ht="27.6" x14ac:dyDescent="0.3">
      <c r="A59" s="680" t="s">
        <v>280</v>
      </c>
      <c r="B59" s="1614" t="s">
        <v>281</v>
      </c>
      <c r="C59" s="1654"/>
      <c r="D59" s="1654"/>
      <c r="E59" s="1654"/>
      <c r="F59" s="1654"/>
      <c r="G59" s="1654"/>
      <c r="H59" s="1654"/>
      <c r="I59" s="1654"/>
      <c r="J59" s="1654"/>
      <c r="K59" s="1655"/>
      <c r="L59" s="1656">
        <f>SUM(C59:K59)</f>
        <v>0</v>
      </c>
      <c r="M59" s="747"/>
      <c r="N59" s="587"/>
      <c r="O59" s="587"/>
      <c r="P59" s="587"/>
      <c r="Q59" s="587"/>
      <c r="R59" s="587"/>
      <c r="S59" s="587"/>
      <c r="T59" s="587"/>
    </row>
    <row r="60" spans="1:41" s="1618" customFormat="1" ht="15" customHeight="1" thickBot="1" x14ac:dyDescent="0.35">
      <c r="A60" s="1615"/>
      <c r="B60" s="1616" t="s">
        <v>356</v>
      </c>
      <c r="C60" s="1657"/>
      <c r="D60" s="1657"/>
      <c r="E60" s="1657"/>
      <c r="F60" s="1657"/>
      <c r="G60" s="1657">
        <f>SUM('5.a.sz. melléklet'!G67)</f>
        <v>35308000</v>
      </c>
      <c r="H60" s="1657"/>
      <c r="I60" s="1657"/>
      <c r="J60" s="1657"/>
      <c r="K60" s="1658"/>
      <c r="L60" s="1659">
        <f>SUM(C60:K60)</f>
        <v>35308000</v>
      </c>
      <c r="M60" s="1617"/>
    </row>
    <row r="61" spans="1:41" ht="41.4" x14ac:dyDescent="0.3">
      <c r="A61" s="965" t="s">
        <v>232</v>
      </c>
      <c r="B61" s="741" t="s">
        <v>423</v>
      </c>
      <c r="C61" s="1660"/>
      <c r="D61" s="1660"/>
      <c r="E61" s="1660"/>
      <c r="F61" s="1660"/>
      <c r="G61" s="1660"/>
      <c r="H61" s="1660"/>
      <c r="I61" s="1660"/>
      <c r="J61" s="1660"/>
      <c r="K61" s="1661"/>
      <c r="L61" s="1662"/>
      <c r="M61" s="747"/>
      <c r="N61" s="587"/>
      <c r="O61" s="587"/>
      <c r="P61" s="587"/>
      <c r="Q61" s="587"/>
      <c r="R61" s="587"/>
      <c r="S61" s="587"/>
      <c r="T61" s="587"/>
    </row>
    <row r="62" spans="1:41" s="744" customFormat="1" ht="14.4" customHeight="1" thickBot="1" x14ac:dyDescent="0.35">
      <c r="A62" s="582"/>
      <c r="B62" s="583" t="s">
        <v>356</v>
      </c>
      <c r="C62" s="1663"/>
      <c r="D62" s="1663"/>
      <c r="E62" s="1625"/>
      <c r="F62" s="1625"/>
      <c r="G62" s="1625"/>
      <c r="H62" s="1625"/>
      <c r="I62" s="1625"/>
      <c r="J62" s="1625"/>
      <c r="K62" s="1626"/>
      <c r="L62" s="1664">
        <f>SUM(C62:K62)</f>
        <v>0</v>
      </c>
      <c r="M62" s="747"/>
      <c r="N62" s="587"/>
      <c r="O62" s="587"/>
      <c r="P62" s="587"/>
      <c r="Q62" s="587"/>
      <c r="R62" s="587"/>
      <c r="S62" s="587"/>
      <c r="T62" s="587"/>
      <c r="U62" s="587"/>
      <c r="V62" s="587"/>
      <c r="W62" s="587"/>
      <c r="X62" s="587"/>
      <c r="Y62" s="587"/>
      <c r="Z62" s="587"/>
      <c r="AA62" s="587"/>
      <c r="AB62" s="587"/>
      <c r="AC62" s="587"/>
      <c r="AD62" s="587"/>
      <c r="AE62" s="587"/>
      <c r="AF62" s="587"/>
      <c r="AG62" s="587"/>
      <c r="AH62" s="587"/>
      <c r="AI62" s="587"/>
      <c r="AJ62" s="587"/>
      <c r="AK62" s="587"/>
      <c r="AL62" s="587"/>
      <c r="AM62" s="587"/>
      <c r="AN62" s="587"/>
      <c r="AO62" s="587"/>
    </row>
    <row r="63" spans="1:41" ht="0.15" customHeight="1" thickBot="1" x14ac:dyDescent="0.35">
      <c r="A63" s="1238"/>
      <c r="B63" s="938" t="s">
        <v>357</v>
      </c>
      <c r="C63" s="1665"/>
      <c r="D63" s="1665"/>
      <c r="E63" s="1628"/>
      <c r="F63" s="1628"/>
      <c r="G63" s="1628"/>
      <c r="H63" s="1628"/>
      <c r="I63" s="1628"/>
      <c r="J63" s="1628"/>
      <c r="K63" s="1629"/>
      <c r="L63" s="1666">
        <f>SUM(C63:K63)</f>
        <v>0</v>
      </c>
      <c r="M63" s="747"/>
      <c r="N63" s="587"/>
      <c r="O63" s="587"/>
      <c r="P63" s="587"/>
      <c r="Q63" s="587"/>
      <c r="R63" s="587"/>
      <c r="S63" s="587"/>
      <c r="T63" s="587"/>
    </row>
    <row r="64" spans="1:41" s="783" customFormat="1" ht="0.15" customHeight="1" x14ac:dyDescent="0.3">
      <c r="A64" s="791"/>
      <c r="B64" s="792" t="s">
        <v>355</v>
      </c>
      <c r="C64" s="1667"/>
      <c r="D64" s="1667"/>
      <c r="E64" s="1631"/>
      <c r="F64" s="1631"/>
      <c r="G64" s="1631"/>
      <c r="H64" s="1631"/>
      <c r="I64" s="1631"/>
      <c r="J64" s="1631"/>
      <c r="K64" s="1632"/>
      <c r="L64" s="1633">
        <f>SUM(C64:K64)</f>
        <v>0</v>
      </c>
      <c r="M64" s="782"/>
    </row>
    <row r="65" spans="1:41" ht="27.6" x14ac:dyDescent="0.3">
      <c r="A65" s="580" t="s">
        <v>234</v>
      </c>
      <c r="B65" s="581" t="s">
        <v>424</v>
      </c>
      <c r="C65" s="1668"/>
      <c r="D65" s="1668"/>
      <c r="E65" s="1622"/>
      <c r="F65" s="1622"/>
      <c r="G65" s="1622"/>
      <c r="H65" s="1622"/>
      <c r="I65" s="1622"/>
      <c r="J65" s="1622"/>
      <c r="K65" s="1623"/>
      <c r="L65" s="1669"/>
      <c r="M65" s="747"/>
      <c r="N65" s="587"/>
      <c r="O65" s="587"/>
      <c r="P65" s="587"/>
      <c r="Q65" s="587"/>
      <c r="R65" s="587"/>
      <c r="S65" s="587"/>
      <c r="T65" s="587"/>
    </row>
    <row r="66" spans="1:41" s="744" customFormat="1" ht="14.4" customHeight="1" thickBot="1" x14ac:dyDescent="0.35">
      <c r="A66" s="582"/>
      <c r="B66" s="583" t="s">
        <v>356</v>
      </c>
      <c r="C66" s="1663"/>
      <c r="D66" s="1663"/>
      <c r="E66" s="1625"/>
      <c r="F66" s="1625"/>
      <c r="G66" s="1625"/>
      <c r="H66" s="1625"/>
      <c r="I66" s="1625"/>
      <c r="J66" s="1625"/>
      <c r="K66" s="1626"/>
      <c r="L66" s="1664">
        <f>SUM(C66:K66)</f>
        <v>0</v>
      </c>
      <c r="M66" s="747"/>
      <c r="N66" s="587"/>
      <c r="O66" s="587"/>
      <c r="P66" s="587"/>
      <c r="Q66" s="587"/>
      <c r="R66" s="587"/>
      <c r="S66" s="587"/>
      <c r="T66" s="587"/>
      <c r="U66" s="587"/>
      <c r="V66" s="587"/>
      <c r="W66" s="587"/>
      <c r="X66" s="587"/>
      <c r="Y66" s="587"/>
      <c r="Z66" s="587"/>
      <c r="AA66" s="587"/>
      <c r="AB66" s="587"/>
      <c r="AC66" s="587"/>
      <c r="AD66" s="587"/>
      <c r="AE66" s="587"/>
      <c r="AF66" s="587"/>
      <c r="AG66" s="587"/>
      <c r="AH66" s="587"/>
      <c r="AI66" s="587"/>
      <c r="AJ66" s="587"/>
      <c r="AK66" s="587"/>
      <c r="AL66" s="587"/>
      <c r="AM66" s="587"/>
      <c r="AN66" s="587"/>
      <c r="AO66" s="587"/>
    </row>
    <row r="67" spans="1:41" ht="0.15" customHeight="1" thickBot="1" x14ac:dyDescent="0.35">
      <c r="A67" s="1238"/>
      <c r="B67" s="938" t="s">
        <v>357</v>
      </c>
      <c r="C67" s="1665"/>
      <c r="D67" s="1665"/>
      <c r="E67" s="1628"/>
      <c r="F67" s="1628"/>
      <c r="G67" s="1628"/>
      <c r="H67" s="1628"/>
      <c r="I67" s="1628"/>
      <c r="J67" s="1628"/>
      <c r="K67" s="1629"/>
      <c r="L67" s="1666">
        <f>SUM(E67:K67)</f>
        <v>0</v>
      </c>
      <c r="M67" s="747"/>
      <c r="N67" s="587"/>
      <c r="O67" s="587"/>
      <c r="P67" s="587"/>
      <c r="Q67" s="587"/>
      <c r="R67" s="587"/>
      <c r="S67" s="587"/>
      <c r="T67" s="587"/>
    </row>
    <row r="68" spans="1:41" s="783" customFormat="1" ht="0.15" customHeight="1" x14ac:dyDescent="0.3">
      <c r="A68" s="791"/>
      <c r="B68" s="792" t="s">
        <v>355</v>
      </c>
      <c r="C68" s="1667"/>
      <c r="D68" s="1667"/>
      <c r="E68" s="1631"/>
      <c r="F68" s="1631"/>
      <c r="G68" s="1631"/>
      <c r="H68" s="1631"/>
      <c r="I68" s="1631"/>
      <c r="J68" s="1631"/>
      <c r="K68" s="1632"/>
      <c r="L68" s="1633">
        <f>SUM(C68:K68)</f>
        <v>0</v>
      </c>
      <c r="M68" s="782"/>
    </row>
    <row r="69" spans="1:41" ht="22.5" customHeight="1" x14ac:dyDescent="0.3">
      <c r="A69" s="584" t="s">
        <v>387</v>
      </c>
      <c r="B69" s="581" t="s">
        <v>390</v>
      </c>
      <c r="C69" s="1622"/>
      <c r="D69" s="1622"/>
      <c r="E69" s="1622"/>
      <c r="F69" s="1622"/>
      <c r="G69" s="1622"/>
      <c r="H69" s="1622"/>
      <c r="I69" s="1622"/>
      <c r="J69" s="1622"/>
      <c r="K69" s="1623"/>
      <c r="L69" s="1634"/>
      <c r="M69" s="747"/>
      <c r="N69" s="587"/>
      <c r="O69" s="587"/>
      <c r="P69" s="587"/>
      <c r="Q69" s="587"/>
      <c r="R69" s="587"/>
      <c r="S69" s="587"/>
      <c r="T69" s="587"/>
    </row>
    <row r="70" spans="1:41" s="744" customFormat="1" ht="14.4" customHeight="1" thickBot="1" x14ac:dyDescent="0.35">
      <c r="A70" s="585"/>
      <c r="B70" s="583" t="s">
        <v>356</v>
      </c>
      <c r="C70" s="1625">
        <f>SUM('5.a.sz. melléklet'!C69+'14.sz.melléklet'!C42)</f>
        <v>12414000</v>
      </c>
      <c r="D70" s="1625"/>
      <c r="E70" s="1625">
        <f>SUM('5.a.sz. melléklet'!E69)</f>
        <v>0</v>
      </c>
      <c r="F70" s="1625"/>
      <c r="G70" s="1625"/>
      <c r="H70" s="1625"/>
      <c r="I70" s="1625"/>
      <c r="J70" s="1625"/>
      <c r="K70" s="1626"/>
      <c r="L70" s="1650">
        <f>SUM(C70:K70)</f>
        <v>12414000</v>
      </c>
      <c r="M70" s="747"/>
      <c r="N70" s="587"/>
      <c r="O70" s="587"/>
      <c r="P70" s="587"/>
      <c r="Q70" s="587"/>
      <c r="R70" s="587"/>
      <c r="S70" s="587"/>
      <c r="T70" s="587"/>
      <c r="U70" s="587"/>
      <c r="V70" s="587"/>
      <c r="W70" s="587"/>
      <c r="X70" s="587"/>
      <c r="Y70" s="587"/>
      <c r="Z70" s="587"/>
      <c r="AA70" s="587"/>
      <c r="AB70" s="587"/>
      <c r="AC70" s="587"/>
      <c r="AD70" s="587"/>
      <c r="AE70" s="587"/>
      <c r="AF70" s="587"/>
      <c r="AG70" s="587"/>
      <c r="AH70" s="587"/>
      <c r="AI70" s="587"/>
      <c r="AJ70" s="587"/>
      <c r="AK70" s="587"/>
      <c r="AL70" s="587"/>
      <c r="AM70" s="587"/>
      <c r="AN70" s="587"/>
      <c r="AO70" s="587"/>
    </row>
    <row r="71" spans="1:41" ht="0.15" customHeight="1" thickBot="1" x14ac:dyDescent="0.35">
      <c r="A71" s="937"/>
      <c r="B71" s="938" t="s">
        <v>357</v>
      </c>
      <c r="C71" s="1628">
        <f>SUM('5.a.sz. melléklet'!C70+'14.sz.melléklet'!C43)</f>
        <v>2916409</v>
      </c>
      <c r="D71" s="1628"/>
      <c r="E71" s="1628">
        <f>SUM('5.a.sz. melléklet'!E70)</f>
        <v>0</v>
      </c>
      <c r="F71" s="1628"/>
      <c r="G71" s="1628"/>
      <c r="H71" s="1628"/>
      <c r="I71" s="1628"/>
      <c r="J71" s="1628"/>
      <c r="K71" s="1629"/>
      <c r="L71" s="1630">
        <f>SUM(C71:K71)</f>
        <v>2916409</v>
      </c>
      <c r="M71" s="747"/>
      <c r="N71" s="587"/>
      <c r="O71" s="587"/>
      <c r="P71" s="587"/>
      <c r="Q71" s="587"/>
      <c r="R71" s="587"/>
      <c r="S71" s="587"/>
      <c r="T71" s="587"/>
    </row>
    <row r="72" spans="1:41" s="783" customFormat="1" ht="0.15" customHeight="1" x14ac:dyDescent="0.3">
      <c r="A72" s="793"/>
      <c r="B72" s="792" t="s">
        <v>355</v>
      </c>
      <c r="C72" s="1631"/>
      <c r="D72" s="1631"/>
      <c r="E72" s="1631"/>
      <c r="F72" s="1631"/>
      <c r="G72" s="1631"/>
      <c r="H72" s="1631"/>
      <c r="I72" s="1631"/>
      <c r="J72" s="1631"/>
      <c r="K72" s="1632"/>
      <c r="L72" s="1633">
        <f>SUM(C72:K72)</f>
        <v>0</v>
      </c>
      <c r="M72" s="782"/>
    </row>
    <row r="73" spans="1:41" ht="14.4" customHeight="1" x14ac:dyDescent="0.3">
      <c r="A73" s="965" t="s">
        <v>267</v>
      </c>
      <c r="B73" s="741" t="s">
        <v>113</v>
      </c>
      <c r="C73" s="1670"/>
      <c r="D73" s="1670"/>
      <c r="E73" s="1670"/>
      <c r="F73" s="1670"/>
      <c r="G73" s="1670"/>
      <c r="H73" s="1670"/>
      <c r="I73" s="1670"/>
      <c r="J73" s="1670"/>
      <c r="K73" s="1671"/>
      <c r="L73" s="1634"/>
      <c r="M73" s="747"/>
      <c r="N73" s="587"/>
      <c r="O73" s="587"/>
      <c r="P73" s="587"/>
      <c r="Q73" s="587"/>
      <c r="R73" s="587"/>
      <c r="S73" s="587"/>
      <c r="T73" s="587"/>
    </row>
    <row r="74" spans="1:41" s="744" customFormat="1" ht="14.4" customHeight="1" thickBot="1" x14ac:dyDescent="0.35">
      <c r="A74" s="582"/>
      <c r="B74" s="583" t="s">
        <v>356</v>
      </c>
      <c r="C74" s="1625">
        <f>SUM('5.a.sz. melléklet'!C73)</f>
        <v>889000</v>
      </c>
      <c r="D74" s="1625"/>
      <c r="E74" s="1625"/>
      <c r="F74" s="1625"/>
      <c r="G74" s="1625"/>
      <c r="H74" s="1625"/>
      <c r="I74" s="1625"/>
      <c r="J74" s="1625"/>
      <c r="K74" s="1626"/>
      <c r="L74" s="1650">
        <f>SUM(C74:K74)</f>
        <v>889000</v>
      </c>
      <c r="M74" s="747"/>
      <c r="N74" s="587"/>
      <c r="O74" s="587"/>
      <c r="P74" s="587"/>
      <c r="Q74" s="587"/>
      <c r="R74" s="587"/>
      <c r="S74" s="587"/>
      <c r="T74" s="587"/>
      <c r="U74" s="587"/>
      <c r="V74" s="587"/>
      <c r="W74" s="587"/>
      <c r="X74" s="587"/>
      <c r="Y74" s="587"/>
      <c r="Z74" s="587"/>
      <c r="AA74" s="587"/>
      <c r="AB74" s="587"/>
      <c r="AC74" s="587"/>
      <c r="AD74" s="587"/>
      <c r="AE74" s="587"/>
      <c r="AF74" s="587"/>
      <c r="AG74" s="587"/>
      <c r="AH74" s="587"/>
      <c r="AI74" s="587"/>
      <c r="AJ74" s="587"/>
      <c r="AK74" s="587"/>
      <c r="AL74" s="587"/>
      <c r="AM74" s="587"/>
      <c r="AN74" s="587"/>
      <c r="AO74" s="587"/>
    </row>
    <row r="75" spans="1:41" ht="0.15" customHeight="1" thickBot="1" x14ac:dyDescent="0.35">
      <c r="A75" s="1238"/>
      <c r="B75" s="938" t="s">
        <v>357</v>
      </c>
      <c r="C75" s="1628"/>
      <c r="D75" s="1628"/>
      <c r="E75" s="1628"/>
      <c r="F75" s="1628"/>
      <c r="G75" s="1628"/>
      <c r="H75" s="1628"/>
      <c r="I75" s="1628"/>
      <c r="J75" s="1628"/>
      <c r="K75" s="1629"/>
      <c r="L75" s="1630">
        <f>SUM(C75:K75)</f>
        <v>0</v>
      </c>
      <c r="M75" s="747"/>
      <c r="N75" s="587"/>
      <c r="O75" s="587"/>
      <c r="P75" s="587"/>
      <c r="Q75" s="587"/>
      <c r="R75" s="587"/>
      <c r="S75" s="587"/>
      <c r="T75" s="587"/>
    </row>
    <row r="76" spans="1:41" s="783" customFormat="1" ht="0.15" customHeight="1" x14ac:dyDescent="0.3">
      <c r="A76" s="791"/>
      <c r="B76" s="792" t="s">
        <v>355</v>
      </c>
      <c r="C76" s="1631"/>
      <c r="D76" s="1631"/>
      <c r="E76" s="1631"/>
      <c r="F76" s="1631"/>
      <c r="G76" s="1631"/>
      <c r="H76" s="1631"/>
      <c r="I76" s="1631"/>
      <c r="J76" s="1631"/>
      <c r="K76" s="1632"/>
      <c r="L76" s="1633">
        <f>SUM(C76:K76)</f>
        <v>0</v>
      </c>
      <c r="M76" s="782"/>
    </row>
    <row r="77" spans="1:41" ht="14.4" customHeight="1" x14ac:dyDescent="0.3">
      <c r="A77" s="584" t="s">
        <v>268</v>
      </c>
      <c r="B77" s="581" t="s">
        <v>421</v>
      </c>
      <c r="C77" s="1668"/>
      <c r="D77" s="1622"/>
      <c r="E77" s="1622"/>
      <c r="F77" s="1622"/>
      <c r="G77" s="1622"/>
      <c r="H77" s="1622"/>
      <c r="I77" s="1622"/>
      <c r="J77" s="1622"/>
      <c r="K77" s="1623"/>
      <c r="L77" s="1669"/>
      <c r="M77" s="747"/>
      <c r="N77" s="587"/>
      <c r="O77" s="587"/>
      <c r="P77" s="587"/>
      <c r="Q77" s="587"/>
      <c r="R77" s="587"/>
      <c r="S77" s="587"/>
      <c r="T77" s="587"/>
    </row>
    <row r="78" spans="1:41" s="744" customFormat="1" ht="14.4" customHeight="1" thickBot="1" x14ac:dyDescent="0.35">
      <c r="A78" s="585"/>
      <c r="B78" s="583" t="s">
        <v>356</v>
      </c>
      <c r="C78" s="1663"/>
      <c r="D78" s="1625"/>
      <c r="E78" s="1625"/>
      <c r="F78" s="1625">
        <f>SUM('5.a.sz. melléklet'!F77)</f>
        <v>0</v>
      </c>
      <c r="G78" s="1625"/>
      <c r="H78" s="1625"/>
      <c r="I78" s="1625"/>
      <c r="J78" s="1625"/>
      <c r="K78" s="1626"/>
      <c r="L78" s="1664">
        <f>SUM(C78:K78)</f>
        <v>0</v>
      </c>
      <c r="M78" s="747"/>
      <c r="N78" s="587"/>
      <c r="O78" s="587"/>
      <c r="P78" s="587"/>
      <c r="Q78" s="587"/>
      <c r="R78" s="587"/>
      <c r="S78" s="587"/>
      <c r="T78" s="587"/>
      <c r="U78" s="587"/>
      <c r="V78" s="587"/>
      <c r="W78" s="587"/>
      <c r="X78" s="587"/>
      <c r="Y78" s="587"/>
      <c r="Z78" s="587"/>
      <c r="AA78" s="587"/>
      <c r="AB78" s="587"/>
      <c r="AC78" s="587"/>
      <c r="AD78" s="587"/>
      <c r="AE78" s="587"/>
      <c r="AF78" s="587"/>
      <c r="AG78" s="587"/>
      <c r="AH78" s="587"/>
      <c r="AI78" s="587"/>
      <c r="AJ78" s="587"/>
      <c r="AK78" s="587"/>
      <c r="AL78" s="587"/>
      <c r="AM78" s="587"/>
      <c r="AN78" s="587"/>
      <c r="AO78" s="587"/>
    </row>
    <row r="79" spans="1:41" ht="0.15" customHeight="1" thickBot="1" x14ac:dyDescent="0.35">
      <c r="A79" s="937"/>
      <c r="B79" s="938" t="s">
        <v>357</v>
      </c>
      <c r="C79" s="1665"/>
      <c r="D79" s="1628"/>
      <c r="E79" s="1628"/>
      <c r="F79" s="1628"/>
      <c r="G79" s="1628"/>
      <c r="H79" s="1628"/>
      <c r="I79" s="1628"/>
      <c r="J79" s="1628"/>
      <c r="K79" s="1629"/>
      <c r="L79" s="1666">
        <f>SUM(C79:K79)</f>
        <v>0</v>
      </c>
      <c r="M79" s="747"/>
      <c r="N79" s="587"/>
      <c r="O79" s="587"/>
      <c r="P79" s="587"/>
      <c r="Q79" s="587"/>
      <c r="R79" s="587"/>
      <c r="S79" s="587"/>
      <c r="T79" s="587"/>
    </row>
    <row r="80" spans="1:41" s="783" customFormat="1" ht="0.15" customHeight="1" x14ac:dyDescent="0.3">
      <c r="A80" s="793"/>
      <c r="B80" s="792" t="s">
        <v>355</v>
      </c>
      <c r="C80" s="1667"/>
      <c r="D80" s="1631"/>
      <c r="E80" s="1631"/>
      <c r="F80" s="1631"/>
      <c r="G80" s="1631"/>
      <c r="H80" s="1631"/>
      <c r="I80" s="1631"/>
      <c r="J80" s="1631"/>
      <c r="K80" s="1632"/>
      <c r="L80" s="1633">
        <f>SUM(C80:K80)</f>
        <v>0</v>
      </c>
      <c r="M80" s="782"/>
    </row>
    <row r="81" spans="1:20" ht="23.25" customHeight="1" x14ac:dyDescent="0.3">
      <c r="A81" s="1074" t="s">
        <v>471</v>
      </c>
      <c r="B81" s="1075" t="s">
        <v>472</v>
      </c>
      <c r="C81" s="1672"/>
      <c r="D81" s="1672"/>
      <c r="E81" s="1672"/>
      <c r="F81" s="1672"/>
      <c r="G81" s="1672"/>
      <c r="H81" s="1672"/>
      <c r="I81" s="1672"/>
      <c r="J81" s="1672"/>
      <c r="K81" s="1673"/>
      <c r="L81" s="1674"/>
      <c r="M81" s="747"/>
      <c r="N81" s="587"/>
      <c r="O81" s="587"/>
      <c r="P81" s="587"/>
      <c r="Q81" s="587"/>
      <c r="R81" s="587"/>
      <c r="S81" s="587"/>
      <c r="T81" s="587"/>
    </row>
    <row r="82" spans="1:20" ht="14.4" customHeight="1" thickBot="1" x14ac:dyDescent="0.35">
      <c r="A82" s="1079"/>
      <c r="B82" s="1080" t="s">
        <v>356</v>
      </c>
      <c r="C82" s="1675"/>
      <c r="D82" s="1675">
        <f>SUM('5.a.sz. melléklet'!D81)</f>
        <v>575791000</v>
      </c>
      <c r="E82" s="1675"/>
      <c r="F82" s="1675"/>
      <c r="G82" s="1675"/>
      <c r="H82" s="1675"/>
      <c r="I82" s="1675"/>
      <c r="J82" s="1675"/>
      <c r="K82" s="1676"/>
      <c r="L82" s="1677">
        <f>SUM(C82:K82)</f>
        <v>575791000</v>
      </c>
      <c r="M82" s="747"/>
      <c r="N82" s="587"/>
      <c r="O82" s="587"/>
      <c r="P82" s="587"/>
      <c r="Q82" s="587"/>
      <c r="R82" s="587"/>
      <c r="S82" s="587"/>
      <c r="T82" s="587"/>
    </row>
    <row r="83" spans="1:20" ht="0.15" customHeight="1" x14ac:dyDescent="0.3">
      <c r="A83" s="1240"/>
      <c r="B83" s="1241" t="s">
        <v>357</v>
      </c>
      <c r="C83" s="1678"/>
      <c r="D83" s="1678">
        <v>543532</v>
      </c>
      <c r="E83" s="1678"/>
      <c r="F83" s="1678"/>
      <c r="G83" s="1678"/>
      <c r="H83" s="1678"/>
      <c r="I83" s="1678"/>
      <c r="J83" s="1678"/>
      <c r="K83" s="1679"/>
      <c r="L83" s="1680">
        <f>SUM(C83:K83)</f>
        <v>543532</v>
      </c>
      <c r="M83" s="747"/>
      <c r="N83" s="587"/>
      <c r="O83" s="587"/>
      <c r="P83" s="587"/>
      <c r="Q83" s="587"/>
      <c r="R83" s="587"/>
      <c r="S83" s="587"/>
      <c r="T83" s="587"/>
    </row>
    <row r="84" spans="1:20" ht="0.15" customHeight="1" x14ac:dyDescent="0.3">
      <c r="A84" s="1074"/>
      <c r="B84" s="1075"/>
      <c r="C84" s="1672"/>
      <c r="D84" s="1672"/>
      <c r="E84" s="1672"/>
      <c r="F84" s="1672"/>
      <c r="G84" s="1672"/>
      <c r="H84" s="1672"/>
      <c r="I84" s="1672"/>
      <c r="J84" s="1672"/>
      <c r="K84" s="1673"/>
      <c r="L84" s="1674"/>
      <c r="M84" s="747"/>
      <c r="N84" s="587"/>
      <c r="O84" s="587"/>
      <c r="P84" s="587"/>
      <c r="Q84" s="587"/>
      <c r="R84" s="587"/>
      <c r="S84" s="587"/>
      <c r="T84" s="587"/>
    </row>
    <row r="85" spans="1:20" ht="0.15" customHeight="1" thickBot="1" x14ac:dyDescent="0.35">
      <c r="A85" s="1079"/>
      <c r="B85" s="1080"/>
      <c r="C85" s="1675"/>
      <c r="D85" s="1675"/>
      <c r="E85" s="1675"/>
      <c r="F85" s="1675"/>
      <c r="G85" s="1675"/>
      <c r="H85" s="1675"/>
      <c r="I85" s="1675"/>
      <c r="J85" s="1675"/>
      <c r="K85" s="1676"/>
      <c r="L85" s="1677"/>
      <c r="M85" s="747"/>
      <c r="N85" s="587"/>
      <c r="O85" s="587"/>
      <c r="P85" s="587"/>
      <c r="Q85" s="587"/>
      <c r="R85" s="587"/>
      <c r="S85" s="587"/>
      <c r="T85" s="587"/>
    </row>
    <row r="86" spans="1:20" ht="0.15" customHeight="1" x14ac:dyDescent="0.3">
      <c r="A86" s="1081"/>
      <c r="B86" s="1082"/>
      <c r="C86" s="1681"/>
      <c r="D86" s="1681"/>
      <c r="E86" s="1681"/>
      <c r="F86" s="1681"/>
      <c r="G86" s="1681"/>
      <c r="H86" s="1681"/>
      <c r="I86" s="1681"/>
      <c r="J86" s="1681"/>
      <c r="K86" s="1682"/>
      <c r="L86" s="1683"/>
      <c r="M86" s="747"/>
      <c r="N86" s="587"/>
      <c r="O86" s="587"/>
      <c r="P86" s="587"/>
      <c r="Q86" s="587"/>
      <c r="R86" s="587"/>
      <c r="S86" s="587"/>
      <c r="T86" s="587"/>
    </row>
    <row r="87" spans="1:20" ht="27.6" x14ac:dyDescent="0.3">
      <c r="A87" s="1074" t="s">
        <v>278</v>
      </c>
      <c r="B87" s="1075" t="s">
        <v>473</v>
      </c>
      <c r="C87" s="1684"/>
      <c r="D87" s="1684"/>
      <c r="E87" s="1684"/>
      <c r="F87" s="1684"/>
      <c r="G87" s="1684"/>
      <c r="H87" s="1684"/>
      <c r="I87" s="1684"/>
      <c r="J87" s="1684"/>
      <c r="K87" s="1685"/>
      <c r="L87" s="1686"/>
      <c r="M87" s="747"/>
      <c r="N87" s="587"/>
      <c r="O87" s="587"/>
      <c r="P87" s="587"/>
      <c r="Q87" s="587"/>
      <c r="R87" s="587"/>
      <c r="S87" s="587"/>
      <c r="T87" s="587"/>
    </row>
    <row r="88" spans="1:20" ht="14.4" customHeight="1" thickBot="1" x14ac:dyDescent="0.35">
      <c r="A88" s="1083"/>
      <c r="B88" s="1077" t="s">
        <v>356</v>
      </c>
      <c r="C88" s="1687"/>
      <c r="D88" s="1687"/>
      <c r="E88" s="1687"/>
      <c r="F88" s="1687"/>
      <c r="G88" s="1687"/>
      <c r="H88" s="1687"/>
      <c r="I88" s="1687"/>
      <c r="J88" s="1687"/>
      <c r="K88" s="1688">
        <f>SUM('5.a.sz. melléklet'!K85)</f>
        <v>300000000</v>
      </c>
      <c r="L88" s="1689">
        <f>SUM(C88:K88)</f>
        <v>300000000</v>
      </c>
      <c r="M88" s="747"/>
      <c r="N88" s="587"/>
      <c r="O88" s="587"/>
      <c r="P88" s="587"/>
      <c r="Q88" s="587"/>
      <c r="R88" s="587"/>
      <c r="S88" s="587"/>
      <c r="T88" s="587"/>
    </row>
    <row r="89" spans="1:20" ht="0.15" customHeight="1" x14ac:dyDescent="0.3">
      <c r="A89" s="1084"/>
      <c r="B89" s="1078" t="s">
        <v>357</v>
      </c>
      <c r="C89" s="1690"/>
      <c r="D89" s="1690"/>
      <c r="E89" s="1690"/>
      <c r="F89" s="1690"/>
      <c r="G89" s="1690"/>
      <c r="H89" s="1690"/>
      <c r="I89" s="1690"/>
      <c r="J89" s="1690"/>
      <c r="K89" s="1691">
        <f>SUM('5.a.sz. melléklet'!K86)</f>
        <v>248750</v>
      </c>
      <c r="L89" s="1692">
        <f>SUM(K89)</f>
        <v>248750</v>
      </c>
      <c r="M89" s="747"/>
      <c r="N89" s="587"/>
      <c r="O89" s="587"/>
      <c r="P89" s="587"/>
      <c r="Q89" s="587"/>
      <c r="R89" s="587"/>
      <c r="S89" s="587"/>
      <c r="T89" s="587"/>
    </row>
    <row r="90" spans="1:20" ht="0.15" customHeight="1" thickBot="1" x14ac:dyDescent="0.35">
      <c r="A90" s="585"/>
      <c r="B90" s="738"/>
      <c r="C90" s="1625"/>
      <c r="D90" s="1625"/>
      <c r="E90" s="1625"/>
      <c r="F90" s="1625"/>
      <c r="G90" s="1625"/>
      <c r="H90" s="1625"/>
      <c r="I90" s="1625"/>
      <c r="J90" s="1625"/>
      <c r="K90" s="1626"/>
      <c r="L90" s="1693"/>
      <c r="M90" s="747"/>
      <c r="N90" s="587"/>
      <c r="O90" s="587"/>
      <c r="P90" s="587"/>
      <c r="Q90" s="587"/>
      <c r="R90" s="587"/>
      <c r="S90" s="587"/>
      <c r="T90" s="587"/>
    </row>
    <row r="91" spans="1:20" s="954" customFormat="1" ht="37.5" customHeight="1" thickBot="1" x14ac:dyDescent="0.35">
      <c r="A91" s="966"/>
      <c r="B91" s="967" t="s">
        <v>350</v>
      </c>
      <c r="C91" s="1694"/>
      <c r="D91" s="1694"/>
      <c r="E91" s="1694"/>
      <c r="F91" s="1694"/>
      <c r="G91" s="1694"/>
      <c r="H91" s="1694"/>
      <c r="I91" s="1694"/>
      <c r="J91" s="1694"/>
      <c r="K91" s="1695"/>
      <c r="L91" s="1696"/>
      <c r="M91" s="747"/>
      <c r="N91" s="968"/>
      <c r="O91" s="587"/>
    </row>
    <row r="92" spans="1:20" s="954" customFormat="1" ht="14.4" customHeight="1" thickBot="1" x14ac:dyDescent="0.35">
      <c r="A92" s="969"/>
      <c r="B92" s="970" t="s">
        <v>356</v>
      </c>
      <c r="C92" s="1697">
        <f>C10+C14+C18+C22+C26+C32+C36+C40+C44+C48+C52+C70+C74+C56+C6+C88+C82+C78+C66+C62+C60+C30</f>
        <v>96485000</v>
      </c>
      <c r="D92" s="1697">
        <f t="shared" ref="D92:L92" si="0">D10+D14+D18+D22+D26+D32+D36+D40+D44+D48+D52+D70+D74+D56+D6+D88+D82+D78+D66+D62+D60+D30</f>
        <v>575791000</v>
      </c>
      <c r="E92" s="1697">
        <f t="shared" si="0"/>
        <v>129565489</v>
      </c>
      <c r="F92" s="1697">
        <f t="shared" si="0"/>
        <v>12637600</v>
      </c>
      <c r="G92" s="1697">
        <f t="shared" si="0"/>
        <v>772274574</v>
      </c>
      <c r="H92" s="1697">
        <f t="shared" si="0"/>
        <v>0</v>
      </c>
      <c r="I92" s="1697">
        <f t="shared" si="0"/>
        <v>217933000</v>
      </c>
      <c r="J92" s="1697">
        <f t="shared" si="0"/>
        <v>100000000</v>
      </c>
      <c r="K92" s="1697">
        <f t="shared" si="0"/>
        <v>300000000</v>
      </c>
      <c r="L92" s="1697">
        <f t="shared" si="0"/>
        <v>2204686663</v>
      </c>
      <c r="M92" s="971">
        <f>SUM(C92:K92)</f>
        <v>2204686663</v>
      </c>
      <c r="N92" s="968"/>
      <c r="O92" s="587"/>
    </row>
    <row r="93" spans="1:20" s="954" customFormat="1" ht="0.15" customHeight="1" thickBot="1" x14ac:dyDescent="0.35">
      <c r="A93" s="969"/>
      <c r="B93" s="967" t="s">
        <v>357</v>
      </c>
      <c r="C93" s="1697" t="e">
        <f>#REF!+C11+C15+C19+C23+C27+#REF!+C33+C37+C41+C45+C49+C53+C59+C71+C75+C57+C7+#REF!+C89+C84+#REF!+C83-C84+#REF!++C79+#REF!+C67+C63+#REF!</f>
        <v>#REF!</v>
      </c>
      <c r="D93" s="1697" t="e">
        <f>#REF!+D11+D15+D19+D23+D27+#REF!+D33+D37+D41+D45+D49+D53+D59+D71+D75+D57+D7+#REF!+D89+D84+#REF!+D83-D84+#REF!++D79+#REF!+D67+D63+#REF!</f>
        <v>#REF!</v>
      </c>
      <c r="E93" s="1697" t="e">
        <f>#REF!+E11+E15+E19+E23+E27+#REF!+E33+E37+E41+E45+E49+E53+E59+E71+E75+E57+E7+#REF!+E89+E84+#REF!+E83-E84+#REF!++E79+#REF!+E67+E63+#REF!</f>
        <v>#REF!</v>
      </c>
      <c r="F93" s="1697" t="e">
        <f>#REF!+F11+F15+F19+F23+F27+#REF!+F33+F37+F41+F45+F49+F53+F59+F71+F75+F57+F7+#REF!+F89+F84+#REF!+F83-F84+#REF!++F79+#REF!+F67+F63+#REF!</f>
        <v>#REF!</v>
      </c>
      <c r="G93" s="1697" t="e">
        <f>#REF!+G11+G15+G19+G23+G27+#REF!+G33+G37+G41+G45+G49+G53+G59+G71+G75+G57+G7+#REF!+G89+G84+#REF!+G83-G84+#REF!++G79+#REF!+G67+G63+#REF!</f>
        <v>#REF!</v>
      </c>
      <c r="H93" s="1697" t="e">
        <f>#REF!+H11+H15+H19+H23+H27+#REF!+H33+H37+H41+H45+H49+H53+H59+H71+H75+H57+H7+#REF!+H89+H84+#REF!+H83-H84+#REF!++H79+#REF!+H67+H63+#REF!</f>
        <v>#REF!</v>
      </c>
      <c r="I93" s="1697" t="e">
        <f>#REF!+I11+I15+I19+I23+I27+#REF!+I33+I37+I41+I45+I49+I53+I59+I71+I75+I57+I7+#REF!+I89+I84+#REF!+I83-I84+#REF!++I79+#REF!+I67+I63+#REF!</f>
        <v>#REF!</v>
      </c>
      <c r="J93" s="1697" t="e">
        <f>#REF!+J11+J15+J19+J23+J27+#REF!+J33+J37+J41+J45+J49+J53+J59+J71+J75+J57+J7+#REF!+J89+J84+#REF!+J83-J84+#REF!++J79+#REF!+J67+J63+#REF!</f>
        <v>#REF!</v>
      </c>
      <c r="K93" s="1698" t="e">
        <f>#REF!+K11+K15+K19+K23+K27+#REF!+K33+K37+K41+K45+K49+K53+K59+K71+K75+K57+K7+#REF!+K89+K84+#REF!+K83-K84+#REF!++K79+#REF!+K67+K63+#REF!</f>
        <v>#REF!</v>
      </c>
      <c r="L93" s="1699" t="e">
        <f>#REF!+L11+L15+L19+L23+L27+#REF!+L33+L37+L41+L45+L49+L53+L59+L71+L75+L57+L7+#REF!+L89+L84+#REF!+L83-L84+#REF!++L79+#REF!+L67+L63+#REF!</f>
        <v>#REF!</v>
      </c>
      <c r="M93" s="971"/>
      <c r="N93" s="968" t="e">
        <f>SUM(C93:K93)</f>
        <v>#REF!</v>
      </c>
      <c r="O93" s="587"/>
    </row>
    <row r="94" spans="1:20" s="976" customFormat="1" ht="0.15" customHeight="1" thickBot="1" x14ac:dyDescent="0.35">
      <c r="A94" s="972"/>
      <c r="B94" s="973" t="s">
        <v>355</v>
      </c>
      <c r="C94" s="1700" t="e">
        <f>#REF!+C12+C16+C20+C24+C28+#REF!+C34+C38+C42+C46+C50+C54+C60+C72+C76+C58+C8+C68</f>
        <v>#REF!</v>
      </c>
      <c r="D94" s="1700" t="e">
        <f>#REF!+D12+D16+D20+D24+D28+#REF!+D34+D38+D42+D46+D50+D54+D60+D72+D76++D8</f>
        <v>#REF!</v>
      </c>
      <c r="E94" s="1700" t="e">
        <f>#REF!+E12+E16+E20+E24+E28+#REF!+E34+E38+E42+E46+E50+E54+E60+E72+E76+#REF!+#REF!+#REF!+E80+E64+E68+E8</f>
        <v>#REF!</v>
      </c>
      <c r="F94" s="1700" t="e">
        <f>#REF!+F12+F16+F20+F24+F28+#REF!+F34+F38+F42+F46+F50+F54+F60+F72+F76+F80+F64+#REF!+F8</f>
        <v>#REF!</v>
      </c>
      <c r="G94" s="1700" t="e">
        <f>#REF!+G12+G16+G20+G24+G28+#REF!+G34+G38+G42+G46+G50+G54+G60+G72+G76+G8</f>
        <v>#REF!</v>
      </c>
      <c r="H94" s="1700">
        <f>SUM(H24+H8)</f>
        <v>0</v>
      </c>
      <c r="I94" s="1700" t="e">
        <f>#REF!+I12+I16+I20+I24+I28+#REF!+I34+I38+I42+I46+I50+I54+I60+I72+I76</f>
        <v>#REF!</v>
      </c>
      <c r="J94" s="1700" t="e">
        <f>#REF!+J12+J16+J20+J24+J28+#REF!+J34+J38+J42+J46+J50+J54+J60+J72+J76</f>
        <v>#REF!</v>
      </c>
      <c r="K94" s="1701" t="e">
        <f>#REF!+K12+K16+K20+K24+K28+#REF!+K34+K38+K42+K46+K50+K54+K60+K72+K76+K8</f>
        <v>#REF!</v>
      </c>
      <c r="L94" s="1702" t="e">
        <f>#REF!+L12+L16+L20+L24+L28+#REF!+L34+L38+L42+L46+L50+L54+L60+L72+L76+L8+L58+#REF!+#REF!+#REF!+L80+L68+L64+#REF!</f>
        <v>#REF!</v>
      </c>
      <c r="M94" s="974"/>
      <c r="N94" s="975" t="e">
        <f>SUM(C94:K94)</f>
        <v>#REF!</v>
      </c>
      <c r="O94" s="783"/>
    </row>
    <row r="95" spans="1:20" s="976" customFormat="1" ht="0.15" customHeight="1" thickBot="1" x14ac:dyDescent="0.35">
      <c r="A95" s="972"/>
      <c r="B95" s="973" t="s">
        <v>427</v>
      </c>
      <c r="C95" s="1700" t="e">
        <f>SUM(C94/C93)</f>
        <v>#REF!</v>
      </c>
      <c r="D95" s="1700" t="e">
        <f t="shared" ref="D95:L95" si="1">SUM(D94/D93)</f>
        <v>#REF!</v>
      </c>
      <c r="E95" s="1700" t="e">
        <f t="shared" si="1"/>
        <v>#REF!</v>
      </c>
      <c r="F95" s="1700" t="e">
        <f t="shared" si="1"/>
        <v>#REF!</v>
      </c>
      <c r="G95" s="1700" t="e">
        <f t="shared" si="1"/>
        <v>#REF!</v>
      </c>
      <c r="H95" s="1700" t="e">
        <f t="shared" si="1"/>
        <v>#REF!</v>
      </c>
      <c r="I95" s="1700" t="e">
        <f t="shared" si="1"/>
        <v>#REF!</v>
      </c>
      <c r="J95" s="1700" t="e">
        <f t="shared" si="1"/>
        <v>#REF!</v>
      </c>
      <c r="K95" s="1701" t="e">
        <f t="shared" si="1"/>
        <v>#REF!</v>
      </c>
      <c r="L95" s="1702" t="e">
        <f t="shared" si="1"/>
        <v>#REF!</v>
      </c>
      <c r="M95" s="974"/>
      <c r="N95" s="975"/>
      <c r="O95" s="783"/>
    </row>
    <row r="96" spans="1:20" s="954" customFormat="1" ht="14.4" customHeight="1" thickBot="1" x14ac:dyDescent="0.35">
      <c r="A96" s="977"/>
      <c r="B96" s="978"/>
      <c r="C96" s="1703"/>
      <c r="D96" s="1703"/>
      <c r="E96" s="1703"/>
      <c r="F96" s="1703"/>
      <c r="G96" s="1703"/>
      <c r="H96" s="1703"/>
      <c r="I96" s="1703"/>
      <c r="J96" s="1703"/>
      <c r="K96" s="1704"/>
      <c r="L96" s="1705"/>
      <c r="M96" s="971"/>
      <c r="N96" s="968"/>
      <c r="O96" s="587"/>
    </row>
    <row r="97" spans="1:41" s="954" customFormat="1" ht="14.4" customHeight="1" thickBot="1" x14ac:dyDescent="0.35">
      <c r="A97" s="2513" t="s">
        <v>347</v>
      </c>
      <c r="B97" s="2514"/>
      <c r="C97" s="1703"/>
      <c r="D97" s="1703"/>
      <c r="E97" s="1703"/>
      <c r="F97" s="1703"/>
      <c r="G97" s="1703"/>
      <c r="H97" s="1703"/>
      <c r="I97" s="1703"/>
      <c r="J97" s="1703"/>
      <c r="K97" s="1704"/>
      <c r="L97" s="1706"/>
      <c r="M97" s="747"/>
      <c r="N97" s="968"/>
      <c r="O97" s="587"/>
    </row>
    <row r="98" spans="1:41" ht="14.4" customHeight="1" thickBot="1" x14ac:dyDescent="0.35">
      <c r="A98" s="950" t="s">
        <v>230</v>
      </c>
      <c r="B98" s="979" t="s">
        <v>2</v>
      </c>
      <c r="C98" s="1654"/>
      <c r="D98" s="1654"/>
      <c r="E98" s="1654"/>
      <c r="F98" s="1654"/>
      <c r="G98" s="1707"/>
      <c r="H98" s="1708"/>
      <c r="I98" s="1708"/>
      <c r="J98" s="1708"/>
      <c r="K98" s="1709"/>
      <c r="L98" s="1710"/>
      <c r="M98" s="747"/>
      <c r="N98" s="587"/>
      <c r="O98" s="587"/>
      <c r="P98" s="587"/>
      <c r="Q98" s="587"/>
      <c r="R98" s="587"/>
      <c r="S98" s="587"/>
      <c r="T98" s="587"/>
    </row>
    <row r="99" spans="1:41" ht="14.4" customHeight="1" thickBot="1" x14ac:dyDescent="0.35">
      <c r="A99" s="788"/>
      <c r="B99" s="787" t="s">
        <v>356</v>
      </c>
      <c r="C99" s="1711">
        <f>SUM('13.sz.melléklet'!D26)</f>
        <v>10180000</v>
      </c>
      <c r="D99" s="1711">
        <f>SUM('13.sz.melléklet'!C26)</f>
        <v>0</v>
      </c>
      <c r="E99" s="1711"/>
      <c r="F99" s="1711"/>
      <c r="G99" s="1712"/>
      <c r="H99" s="1713"/>
      <c r="I99" s="1713"/>
      <c r="J99" s="1713"/>
      <c r="K99" s="1714"/>
      <c r="L99" s="1715">
        <f>SUM(C99:K99)</f>
        <v>10180000</v>
      </c>
      <c r="M99" s="980"/>
      <c r="N99" s="587"/>
      <c r="O99" s="587"/>
      <c r="P99" s="587"/>
      <c r="Q99" s="587"/>
      <c r="R99" s="587"/>
      <c r="S99" s="587"/>
      <c r="T99" s="587"/>
    </row>
    <row r="100" spans="1:41" ht="0.15" customHeight="1" thickBot="1" x14ac:dyDescent="0.35">
      <c r="A100" s="585"/>
      <c r="B100" s="583" t="s">
        <v>357</v>
      </c>
      <c r="C100" s="1625">
        <f>SUM('13.sz.melléklet'!D27)</f>
        <v>10180000</v>
      </c>
      <c r="D100" s="1625">
        <f>SUM('13.sz.melléklet'!C27)</f>
        <v>0</v>
      </c>
      <c r="E100" s="1625">
        <f>SUM('5.a.sz. melléklet'!E8)</f>
        <v>0</v>
      </c>
      <c r="F100" s="1625"/>
      <c r="G100" s="1716"/>
      <c r="H100" s="1717"/>
      <c r="I100" s="1717"/>
      <c r="J100" s="1717"/>
      <c r="K100" s="1718"/>
      <c r="L100" s="1719">
        <f>SUM(C100:K100)</f>
        <v>10180000</v>
      </c>
      <c r="M100" s="747"/>
      <c r="N100" s="587"/>
      <c r="O100" s="587"/>
      <c r="P100" s="587"/>
      <c r="Q100" s="587"/>
      <c r="R100" s="587"/>
      <c r="S100" s="587"/>
      <c r="T100" s="587"/>
    </row>
    <row r="101" spans="1:41" s="783" customFormat="1" ht="0.15" customHeight="1" thickBot="1" x14ac:dyDescent="0.35">
      <c r="A101" s="801"/>
      <c r="B101" s="802" t="s">
        <v>355</v>
      </c>
      <c r="C101" s="1720">
        <f>SUM('13.sz.melléklet'!D81)</f>
        <v>8790</v>
      </c>
      <c r="D101" s="1720">
        <f>SUM('13.sz.melléklet'!C28)</f>
        <v>0</v>
      </c>
      <c r="E101" s="1720">
        <f>SUM('5.a.sz. melléklet'!E9)</f>
        <v>0</v>
      </c>
      <c r="F101" s="1720"/>
      <c r="G101" s="1720"/>
      <c r="H101" s="1721"/>
      <c r="I101" s="1721"/>
      <c r="J101" s="1721">
        <v>-380</v>
      </c>
      <c r="K101" s="1722"/>
      <c r="L101" s="1723">
        <f>SUM(C101:K101)</f>
        <v>8410</v>
      </c>
      <c r="M101" s="782"/>
    </row>
    <row r="102" spans="1:41" s="954" customFormat="1" ht="37.5" customHeight="1" thickBot="1" x14ac:dyDescent="0.35">
      <c r="A102" s="966"/>
      <c r="B102" s="967" t="s">
        <v>425</v>
      </c>
      <c r="C102" s="1694"/>
      <c r="D102" s="1694"/>
      <c r="E102" s="1694"/>
      <c r="F102" s="1694"/>
      <c r="G102" s="1694"/>
      <c r="H102" s="1694"/>
      <c r="I102" s="1694"/>
      <c r="J102" s="1694"/>
      <c r="K102" s="1695"/>
      <c r="L102" s="1696"/>
      <c r="M102" s="747"/>
      <c r="N102" s="968"/>
      <c r="O102" s="587"/>
    </row>
    <row r="103" spans="1:41" s="954" customFormat="1" ht="14.4" customHeight="1" thickBot="1" x14ac:dyDescent="0.35">
      <c r="A103" s="966"/>
      <c r="B103" s="1004" t="s">
        <v>356</v>
      </c>
      <c r="C103" s="1694">
        <f t="shared" ref="C103:L105" si="2">C99</f>
        <v>10180000</v>
      </c>
      <c r="D103" s="1694">
        <f t="shared" si="2"/>
        <v>0</v>
      </c>
      <c r="E103" s="1694">
        <f t="shared" si="2"/>
        <v>0</v>
      </c>
      <c r="F103" s="1694">
        <f t="shared" si="2"/>
        <v>0</v>
      </c>
      <c r="G103" s="1694">
        <f t="shared" si="2"/>
        <v>0</v>
      </c>
      <c r="H103" s="1694">
        <f t="shared" si="2"/>
        <v>0</v>
      </c>
      <c r="I103" s="1694">
        <f t="shared" si="2"/>
        <v>0</v>
      </c>
      <c r="J103" s="1694">
        <f t="shared" si="2"/>
        <v>0</v>
      </c>
      <c r="K103" s="1694">
        <f t="shared" si="2"/>
        <v>0</v>
      </c>
      <c r="L103" s="1694">
        <f t="shared" si="2"/>
        <v>10180000</v>
      </c>
      <c r="M103" s="971">
        <f>SUM(C103:K103)</f>
        <v>10180000</v>
      </c>
      <c r="N103" s="968"/>
      <c r="O103" s="587"/>
    </row>
    <row r="104" spans="1:41" s="954" customFormat="1" ht="0.15" customHeight="1" thickBot="1" x14ac:dyDescent="0.35">
      <c r="A104" s="1242"/>
      <c r="B104" s="1243" t="s">
        <v>357</v>
      </c>
      <c r="C104" s="1724">
        <f t="shared" si="2"/>
        <v>10180000</v>
      </c>
      <c r="D104" s="1724">
        <f t="shared" si="2"/>
        <v>0</v>
      </c>
      <c r="E104" s="1724">
        <f>SUM(E100)</f>
        <v>0</v>
      </c>
      <c r="F104" s="1724"/>
      <c r="G104" s="1724"/>
      <c r="H104" s="1724">
        <f>SUM(H100)</f>
        <v>0</v>
      </c>
      <c r="I104" s="1724"/>
      <c r="J104" s="1724"/>
      <c r="K104" s="1725"/>
      <c r="L104" s="1726">
        <f>SUM(C104:K104)</f>
        <v>10180000</v>
      </c>
      <c r="M104" s="747"/>
      <c r="N104" s="968"/>
      <c r="O104" s="587"/>
    </row>
    <row r="105" spans="1:41" s="976" customFormat="1" ht="0.15" customHeight="1" x14ac:dyDescent="0.3">
      <c r="A105" s="984"/>
      <c r="B105" s="985" t="s">
        <v>355</v>
      </c>
      <c r="C105" s="1727">
        <f t="shared" si="2"/>
        <v>8790</v>
      </c>
      <c r="D105" s="1727">
        <f t="shared" si="2"/>
        <v>0</v>
      </c>
      <c r="E105" s="1727">
        <f>SUM(E101)</f>
        <v>0</v>
      </c>
      <c r="F105" s="1727">
        <f>SUM(F101)</f>
        <v>0</v>
      </c>
      <c r="G105" s="1727"/>
      <c r="H105" s="1727">
        <f>SUM(H101)</f>
        <v>0</v>
      </c>
      <c r="I105" s="1727"/>
      <c r="J105" s="1727">
        <f>SUM(J101)</f>
        <v>-380</v>
      </c>
      <c r="K105" s="1728">
        <f>SUM(K101)</f>
        <v>0</v>
      </c>
      <c r="L105" s="1729">
        <f>SUM(L101)</f>
        <v>8410</v>
      </c>
      <c r="M105" s="974">
        <f>SUM(C105:K105)</f>
        <v>8410</v>
      </c>
      <c r="N105" s="975"/>
      <c r="O105" s="783"/>
    </row>
    <row r="106" spans="1:41" s="976" customFormat="1" ht="0.15" customHeight="1" thickBot="1" x14ac:dyDescent="0.35">
      <c r="A106" s="986"/>
      <c r="B106" s="987" t="s">
        <v>427</v>
      </c>
      <c r="C106" s="1730">
        <f>SUM(C105/C104)</f>
        <v>8.6345776031434185E-4</v>
      </c>
      <c r="D106" s="1730" t="e">
        <f t="shared" ref="D106:L106" si="3">SUM(D105/D104)</f>
        <v>#DIV/0!</v>
      </c>
      <c r="E106" s="1730" t="e">
        <f t="shared" si="3"/>
        <v>#DIV/0!</v>
      </c>
      <c r="F106" s="1730"/>
      <c r="G106" s="1730"/>
      <c r="H106" s="1730"/>
      <c r="I106" s="1730"/>
      <c r="J106" s="1730"/>
      <c r="K106" s="1731"/>
      <c r="L106" s="1732">
        <f t="shared" si="3"/>
        <v>8.2612966601178781E-4</v>
      </c>
      <c r="M106" s="782"/>
      <c r="N106" s="975"/>
      <c r="O106" s="783"/>
    </row>
    <row r="107" spans="1:41" ht="14.4" customHeight="1" x14ac:dyDescent="0.3">
      <c r="A107" s="990"/>
      <c r="B107" s="991"/>
      <c r="C107" s="1670"/>
      <c r="D107" s="1670"/>
      <c r="E107" s="1670"/>
      <c r="F107" s="1670"/>
      <c r="G107" s="1670"/>
      <c r="H107" s="1670"/>
      <c r="I107" s="1670"/>
      <c r="J107" s="1670"/>
      <c r="K107" s="1671"/>
      <c r="L107" s="1733"/>
      <c r="M107" s="992"/>
      <c r="N107" s="993"/>
      <c r="O107" s="952"/>
      <c r="P107" s="953"/>
    </row>
    <row r="108" spans="1:41" ht="14.4" customHeight="1" thickBot="1" x14ac:dyDescent="0.35">
      <c r="A108" s="2521" t="s">
        <v>179</v>
      </c>
      <c r="B108" s="2522"/>
      <c r="C108" s="1734"/>
      <c r="D108" s="1734"/>
      <c r="E108" s="1734"/>
      <c r="F108" s="1734"/>
      <c r="G108" s="1734"/>
      <c r="H108" s="1734"/>
      <c r="I108" s="1734"/>
      <c r="J108" s="1734"/>
      <c r="K108" s="1735"/>
      <c r="L108" s="1736"/>
      <c r="M108" s="992"/>
      <c r="N108" s="993"/>
      <c r="O108" s="952"/>
      <c r="P108" s="953"/>
    </row>
    <row r="109" spans="1:41" ht="14.4" customHeight="1" x14ac:dyDescent="0.3">
      <c r="A109" s="680" t="s">
        <v>241</v>
      </c>
      <c r="B109" s="681" t="s">
        <v>242</v>
      </c>
      <c r="C109" s="1737"/>
      <c r="D109" s="1654"/>
      <c r="E109" s="1654"/>
      <c r="F109" s="1654"/>
      <c r="G109" s="1654"/>
      <c r="H109" s="1654"/>
      <c r="I109" s="1654"/>
      <c r="J109" s="1654"/>
      <c r="K109" s="1738"/>
      <c r="L109" s="1739"/>
      <c r="M109" s="992"/>
      <c r="N109" s="993"/>
      <c r="O109" s="952"/>
      <c r="P109" s="953"/>
    </row>
    <row r="110" spans="1:41" s="744" customFormat="1" ht="14.4" customHeight="1" thickBot="1" x14ac:dyDescent="0.35">
      <c r="A110" s="582"/>
      <c r="B110" s="583" t="s">
        <v>356</v>
      </c>
      <c r="C110" s="1639">
        <f>SUM('16.sz. melléklet'!C30)</f>
        <v>0</v>
      </c>
      <c r="D110" s="1625"/>
      <c r="E110" s="1625"/>
      <c r="F110" s="1625"/>
      <c r="G110" s="1625"/>
      <c r="H110" s="1625"/>
      <c r="I110" s="1625"/>
      <c r="J110" s="1625"/>
      <c r="K110" s="1626"/>
      <c r="L110" s="1740">
        <f>SUM(C110:K110)</f>
        <v>0</v>
      </c>
      <c r="M110" s="992"/>
      <c r="N110" s="993"/>
      <c r="O110" s="952"/>
      <c r="P110" s="953"/>
      <c r="Q110" s="954"/>
      <c r="R110" s="954"/>
      <c r="S110" s="954"/>
      <c r="T110" s="954"/>
      <c r="U110" s="587"/>
      <c r="V110" s="587"/>
      <c r="W110" s="587"/>
      <c r="X110" s="587"/>
      <c r="Y110" s="587"/>
      <c r="Z110" s="587"/>
      <c r="AA110" s="587"/>
      <c r="AB110" s="587"/>
      <c r="AC110" s="587"/>
      <c r="AD110" s="587"/>
      <c r="AE110" s="587"/>
      <c r="AF110" s="587"/>
      <c r="AG110" s="587"/>
      <c r="AH110" s="587"/>
      <c r="AI110" s="587"/>
      <c r="AJ110" s="587"/>
      <c r="AK110" s="587"/>
      <c r="AL110" s="587"/>
      <c r="AM110" s="587"/>
      <c r="AN110" s="587"/>
      <c r="AO110" s="587"/>
    </row>
    <row r="111" spans="1:41" ht="0.15" customHeight="1" thickBot="1" x14ac:dyDescent="0.35">
      <c r="A111" s="1238"/>
      <c r="B111" s="938" t="s">
        <v>357</v>
      </c>
      <c r="C111" s="1642">
        <f>SUM('16.sz. melléklet'!C31)</f>
        <v>0</v>
      </c>
      <c r="D111" s="1628"/>
      <c r="E111" s="1628"/>
      <c r="F111" s="1628"/>
      <c r="G111" s="1628"/>
      <c r="H111" s="1628"/>
      <c r="I111" s="1628"/>
      <c r="J111" s="1628"/>
      <c r="K111" s="1629"/>
      <c r="L111" s="1741">
        <f>SUM(C111:K111)</f>
        <v>0</v>
      </c>
      <c r="M111" s="992"/>
      <c r="N111" s="993"/>
      <c r="O111" s="952"/>
      <c r="P111" s="953"/>
    </row>
    <row r="112" spans="1:41" s="783" customFormat="1" ht="0.15" customHeight="1" x14ac:dyDescent="0.3">
      <c r="A112" s="791"/>
      <c r="B112" s="792" t="s">
        <v>355</v>
      </c>
      <c r="C112" s="1645"/>
      <c r="D112" s="1631"/>
      <c r="E112" s="1631"/>
      <c r="F112" s="1631"/>
      <c r="G112" s="1631"/>
      <c r="H112" s="1631"/>
      <c r="I112" s="1631"/>
      <c r="J112" s="1631"/>
      <c r="K112" s="1632"/>
      <c r="L112" s="1742">
        <f>SUM(C112:K112)</f>
        <v>0</v>
      </c>
      <c r="M112" s="994"/>
      <c r="N112" s="995"/>
      <c r="O112" s="996"/>
      <c r="P112" s="997"/>
      <c r="Q112" s="976"/>
      <c r="R112" s="976"/>
      <c r="S112" s="976"/>
      <c r="T112" s="976"/>
    </row>
    <row r="113" spans="1:41" ht="30" customHeight="1" x14ac:dyDescent="0.3">
      <c r="A113" s="588" t="s">
        <v>243</v>
      </c>
      <c r="B113" s="581" t="s">
        <v>422</v>
      </c>
      <c r="C113" s="1622"/>
      <c r="D113" s="1622"/>
      <c r="E113" s="1622"/>
      <c r="F113" s="1622"/>
      <c r="G113" s="1622"/>
      <c r="H113" s="1622"/>
      <c r="I113" s="1622"/>
      <c r="J113" s="1622"/>
      <c r="K113" s="1623"/>
      <c r="L113" s="1669"/>
      <c r="M113" s="747"/>
      <c r="N113" s="587"/>
      <c r="O113" s="587"/>
      <c r="P113" s="587"/>
      <c r="Q113" s="587"/>
      <c r="R113" s="587"/>
      <c r="S113" s="587"/>
      <c r="T113" s="587"/>
    </row>
    <row r="114" spans="1:41" s="744" customFormat="1" ht="14.4" customHeight="1" thickBot="1" x14ac:dyDescent="0.35">
      <c r="A114" s="743"/>
      <c r="B114" s="583" t="s">
        <v>356</v>
      </c>
      <c r="C114" s="1625"/>
      <c r="D114" s="1625"/>
      <c r="E114" s="1625"/>
      <c r="F114" s="1625">
        <f>SUM('5.a.sz. melléklet'!F23)</f>
        <v>1364000</v>
      </c>
      <c r="G114" s="1625"/>
      <c r="H114" s="1625"/>
      <c r="I114" s="1625"/>
      <c r="J114" s="1625"/>
      <c r="K114" s="1626"/>
      <c r="L114" s="1659">
        <f>SUM(C114:K114)</f>
        <v>1364000</v>
      </c>
      <c r="M114" s="747"/>
      <c r="N114" s="587"/>
      <c r="O114" s="587"/>
      <c r="P114" s="587"/>
      <c r="Q114" s="587"/>
      <c r="R114" s="587"/>
      <c r="S114" s="587"/>
      <c r="T114" s="587"/>
      <c r="U114" s="587"/>
      <c r="V114" s="587"/>
      <c r="W114" s="587"/>
      <c r="X114" s="587"/>
      <c r="Y114" s="587"/>
      <c r="Z114" s="587"/>
      <c r="AA114" s="587"/>
      <c r="AB114" s="587"/>
      <c r="AC114" s="587"/>
      <c r="AD114" s="587"/>
      <c r="AE114" s="587"/>
      <c r="AF114" s="587"/>
      <c r="AG114" s="587"/>
      <c r="AH114" s="587"/>
      <c r="AI114" s="587"/>
      <c r="AJ114" s="587"/>
      <c r="AK114" s="587"/>
      <c r="AL114" s="587"/>
      <c r="AM114" s="587"/>
      <c r="AN114" s="587"/>
      <c r="AO114" s="587"/>
    </row>
    <row r="115" spans="1:41" ht="0.15" customHeight="1" thickBot="1" x14ac:dyDescent="0.35">
      <c r="A115" s="1239"/>
      <c r="B115" s="938" t="s">
        <v>357</v>
      </c>
      <c r="C115" s="1628"/>
      <c r="D115" s="1628"/>
      <c r="E115" s="1628"/>
      <c r="F115" s="1628">
        <f>SUM('5.a.sz. melléklet'!F24)</f>
        <v>1372086</v>
      </c>
      <c r="G115" s="1628"/>
      <c r="H115" s="1628"/>
      <c r="I115" s="1628"/>
      <c r="J115" s="1628"/>
      <c r="K115" s="1629"/>
      <c r="L115" s="1743">
        <f>SUM(F115:K115)</f>
        <v>1372086</v>
      </c>
      <c r="M115" s="747"/>
      <c r="N115" s="587"/>
      <c r="O115" s="587"/>
      <c r="P115" s="587"/>
      <c r="Q115" s="587"/>
      <c r="R115" s="587"/>
      <c r="S115" s="587"/>
      <c r="T115" s="587"/>
    </row>
    <row r="116" spans="1:41" s="783" customFormat="1" ht="0.15" customHeight="1" x14ac:dyDescent="0.3">
      <c r="A116" s="796"/>
      <c r="B116" s="792" t="s">
        <v>355</v>
      </c>
      <c r="C116" s="1631"/>
      <c r="D116" s="1631"/>
      <c r="E116" s="1631"/>
      <c r="F116" s="1631"/>
      <c r="G116" s="1631"/>
      <c r="H116" s="1631"/>
      <c r="I116" s="1631"/>
      <c r="J116" s="1631"/>
      <c r="K116" s="1632"/>
      <c r="L116" s="1633">
        <f>SUM(F116:K116)</f>
        <v>0</v>
      </c>
      <c r="M116" s="782"/>
    </row>
    <row r="117" spans="1:41" ht="27.6" x14ac:dyDescent="0.3">
      <c r="A117" s="580" t="s">
        <v>251</v>
      </c>
      <c r="B117" s="581" t="s">
        <v>252</v>
      </c>
      <c r="C117" s="1622"/>
      <c r="D117" s="1622"/>
      <c r="E117" s="1622"/>
      <c r="F117" s="1622"/>
      <c r="G117" s="1622"/>
      <c r="H117" s="1622"/>
      <c r="I117" s="1622"/>
      <c r="J117" s="1622"/>
      <c r="K117" s="1623"/>
      <c r="L117" s="1634"/>
      <c r="M117" s="747"/>
      <c r="N117" s="587"/>
      <c r="O117" s="587"/>
      <c r="P117" s="587"/>
      <c r="Q117" s="587"/>
      <c r="R117" s="587"/>
      <c r="S117" s="587"/>
      <c r="T117" s="587"/>
    </row>
    <row r="118" spans="1:41" s="744" customFormat="1" ht="15" customHeight="1" thickBot="1" x14ac:dyDescent="0.35">
      <c r="A118" s="582"/>
      <c r="B118" s="583" t="s">
        <v>356</v>
      </c>
      <c r="C118" s="1625"/>
      <c r="D118" s="1625">
        <f>SUM('5.a.sz. melléklet'!D27)</f>
        <v>5043000</v>
      </c>
      <c r="E118" s="1625"/>
      <c r="F118" s="1625">
        <f>SUM('5.a.sz. melléklet'!F27)</f>
        <v>7320000</v>
      </c>
      <c r="G118" s="1625"/>
      <c r="H118" s="1625"/>
      <c r="I118" s="1625"/>
      <c r="J118" s="1625"/>
      <c r="K118" s="1626"/>
      <c r="L118" s="1627">
        <f>SUM(C118:K118)</f>
        <v>12363000</v>
      </c>
      <c r="M118" s="747"/>
      <c r="N118" s="587"/>
      <c r="O118" s="587"/>
      <c r="P118" s="587"/>
      <c r="Q118" s="587"/>
      <c r="R118" s="587"/>
      <c r="S118" s="587"/>
      <c r="T118" s="587"/>
      <c r="U118" s="587"/>
      <c r="V118" s="587"/>
      <c r="W118" s="587"/>
      <c r="X118" s="587"/>
      <c r="Y118" s="587"/>
      <c r="Z118" s="587"/>
      <c r="AA118" s="587"/>
      <c r="AB118" s="587"/>
      <c r="AC118" s="587"/>
      <c r="AD118" s="587"/>
      <c r="AE118" s="587"/>
      <c r="AF118" s="587"/>
      <c r="AG118" s="587"/>
      <c r="AH118" s="587"/>
      <c r="AI118" s="587"/>
      <c r="AJ118" s="587"/>
      <c r="AK118" s="587"/>
      <c r="AL118" s="587"/>
      <c r="AM118" s="587"/>
      <c r="AN118" s="587"/>
      <c r="AO118" s="587"/>
    </row>
    <row r="119" spans="1:41" ht="0.15" customHeight="1" thickBot="1" x14ac:dyDescent="0.35">
      <c r="A119" s="1238"/>
      <c r="B119" s="938" t="s">
        <v>357</v>
      </c>
      <c r="C119" s="1628"/>
      <c r="D119" s="1628">
        <f>SUM('5.a.sz. melléklet'!D28)</f>
        <v>4662</v>
      </c>
      <c r="E119" s="1628"/>
      <c r="F119" s="1628">
        <f>SUM('5.a.sz. melléklet'!F28)</f>
        <v>7320</v>
      </c>
      <c r="G119" s="1628"/>
      <c r="H119" s="1628"/>
      <c r="I119" s="1628"/>
      <c r="J119" s="1628"/>
      <c r="K119" s="1629"/>
      <c r="L119" s="1744">
        <f>SUM(C119:K119)</f>
        <v>11982</v>
      </c>
      <c r="M119" s="747"/>
      <c r="N119" s="587"/>
      <c r="O119" s="587"/>
      <c r="P119" s="587"/>
      <c r="Q119" s="587"/>
      <c r="R119" s="587"/>
      <c r="S119" s="587"/>
      <c r="T119" s="587"/>
    </row>
    <row r="120" spans="1:41" s="783" customFormat="1" ht="0.15" customHeight="1" x14ac:dyDescent="0.3">
      <c r="A120" s="1851"/>
      <c r="B120" s="1013" t="s">
        <v>355</v>
      </c>
      <c r="C120" s="1651"/>
      <c r="D120" s="1651"/>
      <c r="E120" s="1651"/>
      <c r="F120" s="1651"/>
      <c r="G120" s="1651"/>
      <c r="H120" s="1651"/>
      <c r="I120" s="1651"/>
      <c r="J120" s="1651"/>
      <c r="K120" s="1652"/>
      <c r="L120" s="1653">
        <f>SUM(C120:K120)</f>
        <v>0</v>
      </c>
      <c r="M120" s="782"/>
    </row>
    <row r="121" spans="1:41" s="1618" customFormat="1" ht="27.6" x14ac:dyDescent="0.3">
      <c r="A121" s="1852" t="s">
        <v>274</v>
      </c>
      <c r="B121" s="1853" t="s">
        <v>523</v>
      </c>
      <c r="C121" s="1854"/>
      <c r="D121" s="1854"/>
      <c r="E121" s="1854"/>
      <c r="F121" s="1854"/>
      <c r="G121" s="1854"/>
      <c r="H121" s="1854"/>
      <c r="I121" s="1854"/>
      <c r="J121" s="1854"/>
      <c r="K121" s="1855"/>
      <c r="L121" s="1856"/>
      <c r="M121" s="1617"/>
    </row>
    <row r="122" spans="1:41" s="1618" customFormat="1" ht="15" customHeight="1" thickBot="1" x14ac:dyDescent="0.35">
      <c r="A122" s="1615"/>
      <c r="B122" s="1616" t="s">
        <v>356</v>
      </c>
      <c r="C122" s="1657">
        <f>SUM('5.a.sz. melléklet'!C31)</f>
        <v>2134000</v>
      </c>
      <c r="D122" s="1657"/>
      <c r="E122" s="1657"/>
      <c r="F122" s="1657"/>
      <c r="G122" s="1657"/>
      <c r="H122" s="1657"/>
      <c r="I122" s="1657"/>
      <c r="J122" s="1657"/>
      <c r="K122" s="1658"/>
      <c r="L122" s="1659">
        <f>SUM(C122:K122)</f>
        <v>2134000</v>
      </c>
      <c r="M122" s="1617"/>
    </row>
    <row r="123" spans="1:41" ht="15" customHeight="1" x14ac:dyDescent="0.3">
      <c r="A123" s="965" t="s">
        <v>253</v>
      </c>
      <c r="B123" s="741" t="s">
        <v>254</v>
      </c>
      <c r="C123" s="1670"/>
      <c r="D123" s="1670"/>
      <c r="E123" s="1670"/>
      <c r="F123" s="1670"/>
      <c r="G123" s="1670"/>
      <c r="H123" s="1670"/>
      <c r="I123" s="1670"/>
      <c r="J123" s="1670"/>
      <c r="K123" s="1671"/>
      <c r="L123" s="1634"/>
      <c r="M123" s="747"/>
      <c r="N123" s="587"/>
      <c r="O123" s="587"/>
      <c r="P123" s="587"/>
      <c r="Q123" s="587"/>
      <c r="R123" s="587"/>
      <c r="S123" s="587"/>
      <c r="T123" s="587"/>
    </row>
    <row r="124" spans="1:41" s="744" customFormat="1" ht="15" customHeight="1" thickBot="1" x14ac:dyDescent="0.35">
      <c r="A124" s="786"/>
      <c r="B124" s="787" t="s">
        <v>356</v>
      </c>
      <c r="C124" s="1711">
        <f>SUM('5.a.sz. melléklet'!C33)</f>
        <v>1300000</v>
      </c>
      <c r="D124" s="1711"/>
      <c r="E124" s="1711"/>
      <c r="F124" s="1711"/>
      <c r="G124" s="1711"/>
      <c r="H124" s="1711"/>
      <c r="I124" s="1711"/>
      <c r="J124" s="1711"/>
      <c r="K124" s="1745"/>
      <c r="L124" s="1746">
        <f>SUM(C124:K124)</f>
        <v>1300000</v>
      </c>
      <c r="M124" s="747"/>
      <c r="N124" s="587"/>
      <c r="O124" s="587"/>
      <c r="P124" s="587"/>
      <c r="Q124" s="587"/>
      <c r="R124" s="587"/>
      <c r="S124" s="587"/>
      <c r="T124" s="587"/>
      <c r="U124" s="587"/>
      <c r="V124" s="587"/>
      <c r="W124" s="587"/>
      <c r="X124" s="587"/>
      <c r="Y124" s="587"/>
      <c r="Z124" s="587"/>
      <c r="AA124" s="587"/>
      <c r="AB124" s="587"/>
      <c r="AC124" s="587"/>
      <c r="AD124" s="587"/>
      <c r="AE124" s="587"/>
      <c r="AF124" s="587"/>
      <c r="AG124" s="587"/>
      <c r="AH124" s="587"/>
      <c r="AI124" s="587"/>
      <c r="AJ124" s="587"/>
      <c r="AK124" s="587"/>
      <c r="AL124" s="587"/>
      <c r="AM124" s="587"/>
      <c r="AN124" s="587"/>
      <c r="AO124" s="587"/>
    </row>
    <row r="125" spans="1:41" ht="0.15" customHeight="1" thickBot="1" x14ac:dyDescent="0.35">
      <c r="A125" s="582"/>
      <c r="B125" s="583" t="s">
        <v>357</v>
      </c>
      <c r="C125" s="1625">
        <f>SUM('5.a.sz. melléklet'!C34)</f>
        <v>1300000</v>
      </c>
      <c r="D125" s="1625"/>
      <c r="E125" s="1625"/>
      <c r="F125" s="1625"/>
      <c r="G125" s="1625"/>
      <c r="H125" s="1625"/>
      <c r="I125" s="1625"/>
      <c r="J125" s="1625"/>
      <c r="K125" s="1626"/>
      <c r="L125" s="1650">
        <f>SUM(C125:K125)</f>
        <v>1300000</v>
      </c>
      <c r="M125" s="747"/>
      <c r="N125" s="587"/>
      <c r="O125" s="587"/>
      <c r="P125" s="587"/>
      <c r="Q125" s="587"/>
      <c r="R125" s="587"/>
      <c r="S125" s="587"/>
      <c r="T125" s="587"/>
    </row>
    <row r="126" spans="1:41" s="783" customFormat="1" ht="0.15" customHeight="1" x14ac:dyDescent="0.3">
      <c r="A126" s="793"/>
      <c r="B126" s="792" t="s">
        <v>355</v>
      </c>
      <c r="C126" s="1631"/>
      <c r="D126" s="1631"/>
      <c r="E126" s="1631"/>
      <c r="F126" s="1631"/>
      <c r="G126" s="1631"/>
      <c r="H126" s="1631"/>
      <c r="I126" s="1631"/>
      <c r="J126" s="1631"/>
      <c r="K126" s="1632"/>
      <c r="L126" s="1633">
        <f>SUM(C126:K126)</f>
        <v>0</v>
      </c>
      <c r="M126" s="998"/>
      <c r="N126" s="999"/>
    </row>
    <row r="127" spans="1:41" ht="2.25" customHeight="1" thickBot="1" x14ac:dyDescent="0.35">
      <c r="A127" s="585"/>
      <c r="B127" s="738" t="s">
        <v>355</v>
      </c>
      <c r="C127" s="1625">
        <v>39</v>
      </c>
      <c r="D127" s="1625"/>
      <c r="E127" s="1625"/>
      <c r="F127" s="1625"/>
      <c r="G127" s="1625"/>
      <c r="H127" s="1625"/>
      <c r="I127" s="1625"/>
      <c r="J127" s="1625"/>
      <c r="K127" s="1626"/>
      <c r="L127" s="1669">
        <f>SUM(C127:K127)</f>
        <v>39</v>
      </c>
      <c r="M127" s="1000"/>
      <c r="N127" s="1001"/>
      <c r="O127" s="587"/>
      <c r="P127" s="587"/>
      <c r="Q127" s="587"/>
      <c r="R127" s="587"/>
      <c r="S127" s="587"/>
      <c r="T127" s="587"/>
    </row>
    <row r="128" spans="1:41" ht="40.5" customHeight="1" thickBot="1" x14ac:dyDescent="0.35">
      <c r="A128" s="1002"/>
      <c r="B128" s="967" t="s">
        <v>351</v>
      </c>
      <c r="C128" s="1697"/>
      <c r="D128" s="1697"/>
      <c r="E128" s="1697"/>
      <c r="F128" s="1697"/>
      <c r="G128" s="1697"/>
      <c r="H128" s="1697"/>
      <c r="I128" s="1697"/>
      <c r="J128" s="1697"/>
      <c r="K128" s="1698"/>
      <c r="L128" s="1747"/>
      <c r="M128" s="1003"/>
      <c r="N128" s="993"/>
      <c r="O128" s="587"/>
    </row>
    <row r="129" spans="1:40" ht="14.25" customHeight="1" thickBot="1" x14ac:dyDescent="0.35">
      <c r="A129" s="1002"/>
      <c r="B129" s="1004" t="s">
        <v>356</v>
      </c>
      <c r="C129" s="1697">
        <f>C110+C118+C124+C114+C122</f>
        <v>3434000</v>
      </c>
      <c r="D129" s="1697">
        <f t="shared" ref="D129:L129" si="4">D110+D118+D124+D114+D122</f>
        <v>5043000</v>
      </c>
      <c r="E129" s="1697">
        <f t="shared" si="4"/>
        <v>0</v>
      </c>
      <c r="F129" s="1697">
        <f t="shared" si="4"/>
        <v>8684000</v>
      </c>
      <c r="G129" s="1697">
        <f t="shared" si="4"/>
        <v>0</v>
      </c>
      <c r="H129" s="1697">
        <f t="shared" si="4"/>
        <v>0</v>
      </c>
      <c r="I129" s="1697">
        <f t="shared" si="4"/>
        <v>0</v>
      </c>
      <c r="J129" s="1697">
        <f t="shared" si="4"/>
        <v>0</v>
      </c>
      <c r="K129" s="1697">
        <f t="shared" si="4"/>
        <v>0</v>
      </c>
      <c r="L129" s="1697">
        <f t="shared" si="4"/>
        <v>17161000</v>
      </c>
      <c r="M129" s="1003"/>
      <c r="N129" s="993"/>
      <c r="O129" s="587"/>
    </row>
    <row r="130" spans="1:40" ht="0.15" customHeight="1" thickBot="1" x14ac:dyDescent="0.35">
      <c r="A130" s="1002"/>
      <c r="B130" s="1004" t="s">
        <v>357</v>
      </c>
      <c r="C130" s="1697">
        <f>C111+C119+C125</f>
        <v>1300000</v>
      </c>
      <c r="D130" s="1697">
        <f>D111+D119+D125</f>
        <v>4662</v>
      </c>
      <c r="E130" s="1697" t="e">
        <f>E111+E119+E125+#REF!</f>
        <v>#REF!</v>
      </c>
      <c r="F130" s="1697">
        <f>F111+F119+F125+F115</f>
        <v>1379406</v>
      </c>
      <c r="G130" s="1697">
        <f t="shared" ref="G130:K131" si="5">G111+G119+G125</f>
        <v>0</v>
      </c>
      <c r="H130" s="1697">
        <f t="shared" si="5"/>
        <v>0</v>
      </c>
      <c r="I130" s="1697">
        <f t="shared" si="5"/>
        <v>0</v>
      </c>
      <c r="J130" s="1697">
        <f t="shared" si="5"/>
        <v>0</v>
      </c>
      <c r="K130" s="1698">
        <f t="shared" si="5"/>
        <v>0</v>
      </c>
      <c r="L130" s="1747" t="e">
        <f>L111+L119+L125+L115+#REF!</f>
        <v>#REF!</v>
      </c>
      <c r="M130" s="1003"/>
      <c r="N130" s="993"/>
      <c r="O130" s="587"/>
    </row>
    <row r="131" spans="1:40" s="783" customFormat="1" ht="0.15" customHeight="1" thickBot="1" x14ac:dyDescent="0.35">
      <c r="A131" s="1005"/>
      <c r="B131" s="1006" t="s">
        <v>355</v>
      </c>
      <c r="C131" s="1700">
        <f>C112+C120+C126+C127</f>
        <v>39</v>
      </c>
      <c r="D131" s="1700">
        <f>D112+D120+D126</f>
        <v>0</v>
      </c>
      <c r="E131" s="1700" t="e">
        <f>E112+E120+E126+#REF!</f>
        <v>#REF!</v>
      </c>
      <c r="F131" s="1700">
        <f>F112+F120+F126+F116</f>
        <v>0</v>
      </c>
      <c r="G131" s="1700">
        <f t="shared" si="5"/>
        <v>0</v>
      </c>
      <c r="H131" s="1700">
        <f t="shared" si="5"/>
        <v>0</v>
      </c>
      <c r="I131" s="1700">
        <f t="shared" si="5"/>
        <v>0</v>
      </c>
      <c r="J131" s="1700">
        <f t="shared" si="5"/>
        <v>0</v>
      </c>
      <c r="K131" s="1701">
        <f t="shared" si="5"/>
        <v>0</v>
      </c>
      <c r="L131" s="1702" t="e">
        <f>L112+L120+L126+L116+#REF!+L127</f>
        <v>#REF!</v>
      </c>
      <c r="M131" s="1007"/>
      <c r="N131" s="995"/>
      <c r="P131" s="976"/>
      <c r="Q131" s="976"/>
      <c r="R131" s="976"/>
      <c r="S131" s="976"/>
      <c r="T131" s="976"/>
    </row>
    <row r="132" spans="1:40" s="783" customFormat="1" ht="14.25" customHeight="1" x14ac:dyDescent="0.3">
      <c r="A132" s="1005"/>
      <c r="B132" s="1008" t="s">
        <v>429</v>
      </c>
      <c r="C132" s="1700">
        <f>SUM(C131/C130)</f>
        <v>3.0000000000000001E-5</v>
      </c>
      <c r="D132" s="1700">
        <f t="shared" ref="D132:L132" si="6">SUM(D131/D130)</f>
        <v>0</v>
      </c>
      <c r="E132" s="1700" t="e">
        <f t="shared" si="6"/>
        <v>#REF!</v>
      </c>
      <c r="F132" s="1700">
        <f t="shared" si="6"/>
        <v>0</v>
      </c>
      <c r="G132" s="1700"/>
      <c r="H132" s="1700"/>
      <c r="I132" s="1700"/>
      <c r="J132" s="1700"/>
      <c r="K132" s="1701"/>
      <c r="L132" s="1702" t="e">
        <f t="shared" si="6"/>
        <v>#REF!</v>
      </c>
      <c r="M132" s="1007"/>
      <c r="N132" s="995"/>
      <c r="P132" s="976"/>
      <c r="Q132" s="976"/>
      <c r="R132" s="976"/>
      <c r="S132" s="976"/>
      <c r="T132" s="976"/>
    </row>
    <row r="133" spans="1:40" ht="14.25" customHeight="1" thickBot="1" x14ac:dyDescent="0.35">
      <c r="A133" s="1009"/>
      <c r="B133" s="583"/>
      <c r="C133" s="1748"/>
      <c r="D133" s="1748"/>
      <c r="E133" s="1748"/>
      <c r="F133" s="1748"/>
      <c r="G133" s="1748"/>
      <c r="H133" s="1748"/>
      <c r="I133" s="1748"/>
      <c r="J133" s="1748"/>
      <c r="K133" s="1749"/>
      <c r="L133" s="1750"/>
      <c r="M133" s="1003"/>
      <c r="N133" s="993"/>
      <c r="O133" s="587"/>
    </row>
    <row r="134" spans="1:40" ht="25.5" customHeight="1" x14ac:dyDescent="0.3">
      <c r="A134" s="2517" t="s">
        <v>348</v>
      </c>
      <c r="B134" s="2518"/>
      <c r="C134" s="1751"/>
      <c r="D134" s="1751"/>
      <c r="E134" s="1751"/>
      <c r="F134" s="1751"/>
      <c r="G134" s="1751"/>
      <c r="H134" s="1751"/>
      <c r="I134" s="1751"/>
      <c r="J134" s="1751"/>
      <c r="K134" s="1752"/>
      <c r="L134" s="1753"/>
      <c r="M134" s="1003"/>
      <c r="N134" s="993"/>
      <c r="O134" s="587"/>
    </row>
    <row r="135" spans="1:40" ht="14.25" customHeight="1" thickBot="1" x14ac:dyDescent="0.35">
      <c r="A135" s="981"/>
      <c r="B135" s="1010" t="s">
        <v>356</v>
      </c>
      <c r="C135" s="1754">
        <f t="shared" ref="C135:K135" si="7">C92+C103+C129</f>
        <v>110099000</v>
      </c>
      <c r="D135" s="1754">
        <f t="shared" si="7"/>
        <v>580834000</v>
      </c>
      <c r="E135" s="1754">
        <f t="shared" si="7"/>
        <v>129565489</v>
      </c>
      <c r="F135" s="1754">
        <f t="shared" si="7"/>
        <v>21321600</v>
      </c>
      <c r="G135" s="1754">
        <f t="shared" si="7"/>
        <v>772274574</v>
      </c>
      <c r="H135" s="1754">
        <f t="shared" si="7"/>
        <v>0</v>
      </c>
      <c r="I135" s="1754">
        <f t="shared" si="7"/>
        <v>217933000</v>
      </c>
      <c r="J135" s="1754">
        <f t="shared" si="7"/>
        <v>100000000</v>
      </c>
      <c r="K135" s="1755">
        <f t="shared" si="7"/>
        <v>300000000</v>
      </c>
      <c r="L135" s="1756">
        <f>L92+L103+L129</f>
        <v>2232027663</v>
      </c>
      <c r="M135" s="1003"/>
      <c r="N135" s="993"/>
      <c r="O135" s="1244"/>
    </row>
    <row r="136" spans="1:40" ht="0.15" customHeight="1" thickBot="1" x14ac:dyDescent="0.35">
      <c r="A136" s="967"/>
      <c r="B136" s="1004" t="s">
        <v>357</v>
      </c>
      <c r="C136" s="982" t="e">
        <f t="shared" ref="C136:L136" si="8">C93+C104+C130</f>
        <v>#REF!</v>
      </c>
      <c r="D136" s="982" t="e">
        <f t="shared" si="8"/>
        <v>#REF!</v>
      </c>
      <c r="E136" s="982" t="e">
        <f t="shared" si="8"/>
        <v>#REF!</v>
      </c>
      <c r="F136" s="982" t="e">
        <f t="shared" si="8"/>
        <v>#REF!</v>
      </c>
      <c r="G136" s="982" t="e">
        <f t="shared" si="8"/>
        <v>#REF!</v>
      </c>
      <c r="H136" s="982" t="e">
        <f t="shared" si="8"/>
        <v>#REF!</v>
      </c>
      <c r="I136" s="982" t="e">
        <f t="shared" si="8"/>
        <v>#REF!</v>
      </c>
      <c r="J136" s="982" t="e">
        <f t="shared" si="8"/>
        <v>#REF!</v>
      </c>
      <c r="K136" s="983" t="e">
        <f t="shared" si="8"/>
        <v>#REF!</v>
      </c>
      <c r="L136" s="1011" t="e">
        <f t="shared" si="8"/>
        <v>#REF!</v>
      </c>
      <c r="M136" s="1012">
        <v>1827369</v>
      </c>
      <c r="N136" s="993" t="e">
        <f>SUM(C136:K136)</f>
        <v>#REF!</v>
      </c>
      <c r="O136" s="587"/>
    </row>
    <row r="137" spans="1:40" s="783" customFormat="1" ht="0.15" customHeight="1" thickBot="1" x14ac:dyDescent="0.35">
      <c r="A137" s="985"/>
      <c r="B137" s="1013" t="s">
        <v>355</v>
      </c>
      <c r="C137" s="1014" t="e">
        <f t="shared" ref="C137:L137" si="9">C94+C105+C131</f>
        <v>#REF!</v>
      </c>
      <c r="D137" s="1014" t="e">
        <f t="shared" si="9"/>
        <v>#REF!</v>
      </c>
      <c r="E137" s="1015" t="e">
        <f t="shared" si="9"/>
        <v>#REF!</v>
      </c>
      <c r="F137" s="1015" t="e">
        <f t="shared" si="9"/>
        <v>#REF!</v>
      </c>
      <c r="G137" s="1015" t="e">
        <f t="shared" si="9"/>
        <v>#REF!</v>
      </c>
      <c r="H137" s="1015">
        <f t="shared" si="9"/>
        <v>0</v>
      </c>
      <c r="I137" s="1015" t="e">
        <f t="shared" si="9"/>
        <v>#REF!</v>
      </c>
      <c r="J137" s="1015" t="e">
        <f t="shared" si="9"/>
        <v>#REF!</v>
      </c>
      <c r="K137" s="1016" t="e">
        <f t="shared" si="9"/>
        <v>#REF!</v>
      </c>
      <c r="L137" s="1017" t="e">
        <f t="shared" si="9"/>
        <v>#REF!</v>
      </c>
      <c r="M137" s="1018" t="e">
        <f>SUM(C137:K137)</f>
        <v>#REF!</v>
      </c>
      <c r="N137" s="995">
        <v>1646507</v>
      </c>
      <c r="P137" s="976"/>
      <c r="Q137" s="976"/>
      <c r="R137" s="976"/>
      <c r="S137" s="976"/>
      <c r="T137" s="976"/>
    </row>
    <row r="138" spans="1:40" s="783" customFormat="1" ht="0.15" customHeight="1" thickBot="1" x14ac:dyDescent="0.35">
      <c r="A138" s="1019"/>
      <c r="B138" s="1006" t="s">
        <v>427</v>
      </c>
      <c r="C138" s="1020" t="e">
        <f>SUM(C137)/C136</f>
        <v>#REF!</v>
      </c>
      <c r="D138" s="1020" t="e">
        <f t="shared" ref="D138:L138" si="10">SUM(D137)/D136</f>
        <v>#REF!</v>
      </c>
      <c r="E138" s="988" t="e">
        <f t="shared" si="10"/>
        <v>#REF!</v>
      </c>
      <c r="F138" s="988" t="e">
        <f t="shared" si="10"/>
        <v>#REF!</v>
      </c>
      <c r="G138" s="988" t="e">
        <f t="shared" si="10"/>
        <v>#REF!</v>
      </c>
      <c r="H138" s="988" t="e">
        <f t="shared" si="10"/>
        <v>#REF!</v>
      </c>
      <c r="I138" s="988" t="e">
        <f t="shared" si="10"/>
        <v>#REF!</v>
      </c>
      <c r="J138" s="988" t="e">
        <f t="shared" si="10"/>
        <v>#REF!</v>
      </c>
      <c r="K138" s="989" t="e">
        <f t="shared" si="10"/>
        <v>#REF!</v>
      </c>
      <c r="L138" s="1021" t="e">
        <f t="shared" si="10"/>
        <v>#REF!</v>
      </c>
      <c r="M138" s="1018"/>
      <c r="N138" s="995"/>
      <c r="P138" s="976"/>
      <c r="Q138" s="976"/>
      <c r="R138" s="976"/>
      <c r="S138" s="976"/>
      <c r="T138" s="976"/>
    </row>
    <row r="139" spans="1:40" ht="14.25" customHeight="1" thickBot="1" x14ac:dyDescent="0.35">
      <c r="A139" s="1022"/>
      <c r="B139" s="1023"/>
      <c r="C139" s="1024"/>
      <c r="D139" s="1012"/>
      <c r="E139" s="1012"/>
      <c r="F139" s="1012"/>
      <c r="G139" s="1012"/>
      <c r="H139" s="1012"/>
      <c r="I139" s="1012"/>
      <c r="J139" s="1012"/>
      <c r="K139" s="1012"/>
      <c r="L139" s="1012"/>
      <c r="M139" s="1025"/>
      <c r="N139" s="993"/>
      <c r="O139" s="587"/>
    </row>
    <row r="140" spans="1:40" ht="62.25" customHeight="1" x14ac:dyDescent="0.3">
      <c r="A140" s="1026" t="s">
        <v>224</v>
      </c>
      <c r="B140" s="1027" t="s">
        <v>225</v>
      </c>
      <c r="C140" s="1028" t="s">
        <v>9</v>
      </c>
      <c r="D140" s="1029" t="s">
        <v>226</v>
      </c>
      <c r="E140" s="1029" t="s">
        <v>106</v>
      </c>
      <c r="F140" s="1029" t="s">
        <v>227</v>
      </c>
      <c r="G140" s="1029" t="s">
        <v>125</v>
      </c>
      <c r="H140" s="1029" t="s">
        <v>124</v>
      </c>
      <c r="I140" s="1029" t="s">
        <v>228</v>
      </c>
      <c r="J140" s="1029" t="s">
        <v>304</v>
      </c>
      <c r="K140" s="1029" t="s">
        <v>107</v>
      </c>
      <c r="L140" s="1030" t="s">
        <v>144</v>
      </c>
      <c r="M140" s="1029" t="s">
        <v>58</v>
      </c>
      <c r="N140" s="1031" t="s">
        <v>21</v>
      </c>
      <c r="O140" s="747"/>
      <c r="S140" s="587"/>
      <c r="T140" s="587"/>
    </row>
    <row r="141" spans="1:40" ht="14.4" thickBot="1" x14ac:dyDescent="0.35">
      <c r="A141" s="2525" t="s">
        <v>176</v>
      </c>
      <c r="B141" s="2526"/>
      <c r="C141" s="587"/>
      <c r="D141" s="587"/>
      <c r="E141" s="587"/>
      <c r="F141" s="587"/>
      <c r="G141" s="587"/>
      <c r="H141" s="587"/>
      <c r="I141" s="587"/>
      <c r="J141" s="587"/>
      <c r="K141" s="587"/>
      <c r="L141" s="587"/>
      <c r="M141" s="1032"/>
      <c r="N141" s="587"/>
      <c r="O141" s="747"/>
      <c r="S141" s="587"/>
      <c r="T141" s="587"/>
    </row>
    <row r="142" spans="1:40" ht="14.25" customHeight="1" x14ac:dyDescent="0.3">
      <c r="A142" s="682" t="s">
        <v>230</v>
      </c>
      <c r="B142" s="683" t="s">
        <v>2</v>
      </c>
      <c r="C142" s="1757"/>
      <c r="D142" s="1757"/>
      <c r="E142" s="1757"/>
      <c r="F142" s="1757"/>
      <c r="G142" s="1757"/>
      <c r="H142" s="1757"/>
      <c r="I142" s="1757"/>
      <c r="J142" s="1757"/>
      <c r="K142" s="1757"/>
      <c r="L142" s="1758"/>
      <c r="M142" s="1757"/>
      <c r="N142" s="1759">
        <f>SUM(C142:M142)</f>
        <v>0</v>
      </c>
      <c r="O142" s="747"/>
      <c r="P142" s="587"/>
      <c r="Q142" s="587"/>
      <c r="R142" s="587"/>
      <c r="S142" s="587"/>
      <c r="T142" s="587"/>
    </row>
    <row r="143" spans="1:40" s="744" customFormat="1" ht="14.25" customHeight="1" thickBot="1" x14ac:dyDescent="0.35">
      <c r="A143" s="745"/>
      <c r="B143" s="583" t="s">
        <v>356</v>
      </c>
      <c r="C143" s="1760">
        <f>SUM('6. sz.melléklet'!C6)</f>
        <v>27628000</v>
      </c>
      <c r="D143" s="1760">
        <f>SUM('6. sz.melléklet'!D6)</f>
        <v>7500000</v>
      </c>
      <c r="E143" s="1760">
        <f>SUM('6. sz.melléklet'!E6)</f>
        <v>56460000</v>
      </c>
      <c r="F143" s="1760"/>
      <c r="G143" s="1760"/>
      <c r="H143" s="1760">
        <f>SUM('6. sz.melléklet'!H6)</f>
        <v>3330000</v>
      </c>
      <c r="I143" s="1760">
        <f>SUM('6. sz.melléklet'!I6)</f>
        <v>18354270</v>
      </c>
      <c r="J143" s="1760">
        <f>SUM('6. sz.melléklet'!J6)</f>
        <v>0</v>
      </c>
      <c r="K143" s="1760">
        <f>SUM('1.sz. melléklet'!B27)</f>
        <v>3461428</v>
      </c>
      <c r="L143" s="1761"/>
      <c r="M143" s="1760"/>
      <c r="N143" s="1762">
        <f>SUM(C143:M143)</f>
        <v>116733698</v>
      </c>
      <c r="O143" s="747"/>
      <c r="P143" s="587"/>
      <c r="Q143" s="587"/>
      <c r="R143" s="587"/>
      <c r="S143" s="587"/>
      <c r="T143" s="587"/>
      <c r="U143" s="587"/>
      <c r="V143" s="587"/>
      <c r="W143" s="587"/>
      <c r="X143" s="587"/>
      <c r="Y143" s="587"/>
      <c r="Z143" s="587"/>
      <c r="AA143" s="587"/>
      <c r="AB143" s="587"/>
      <c r="AC143" s="587"/>
      <c r="AD143" s="587"/>
      <c r="AE143" s="587"/>
      <c r="AF143" s="587"/>
      <c r="AG143" s="587"/>
      <c r="AH143" s="587"/>
      <c r="AI143" s="587"/>
      <c r="AJ143" s="587"/>
      <c r="AK143" s="587"/>
      <c r="AL143" s="587"/>
      <c r="AM143" s="587"/>
      <c r="AN143" s="587"/>
    </row>
    <row r="144" spans="1:40" ht="0.15" customHeight="1" thickBot="1" x14ac:dyDescent="0.35">
      <c r="A144" s="1245"/>
      <c r="B144" s="938" t="s">
        <v>357</v>
      </c>
      <c r="C144" s="1763">
        <f>SUM('6. sz.melléklet'!C7)</f>
        <v>27628000</v>
      </c>
      <c r="D144" s="1763">
        <f>SUM('6. sz.melléklet'!D7)</f>
        <v>7500000</v>
      </c>
      <c r="E144" s="1763">
        <f>SUM('6. sz.melléklet'!E7)</f>
        <v>26760</v>
      </c>
      <c r="F144" s="1763"/>
      <c r="G144" s="1763"/>
      <c r="H144" s="1763"/>
      <c r="I144" s="1763">
        <f>SUM('6. sz.melléklet'!I7)</f>
        <v>18354270</v>
      </c>
      <c r="J144" s="1763">
        <f>SUM('6. sz.melléklet'!J7)</f>
        <v>22764</v>
      </c>
      <c r="K144" s="1763">
        <f>SUM('6. sz.melléklet'!K7)</f>
        <v>42432</v>
      </c>
      <c r="L144" s="1764">
        <f>SUM('6. sz.melléklet'!L7)</f>
        <v>20400</v>
      </c>
      <c r="M144" s="1763"/>
      <c r="N144" s="1765">
        <f>SUM(C144:M144)</f>
        <v>53594626</v>
      </c>
      <c r="O144" s="747"/>
      <c r="P144" s="587"/>
      <c r="Q144" s="587"/>
      <c r="R144" s="587"/>
      <c r="S144" s="587"/>
      <c r="T144" s="587"/>
    </row>
    <row r="145" spans="1:40" s="783" customFormat="1" ht="0.15" customHeight="1" x14ac:dyDescent="0.3">
      <c r="A145" s="799"/>
      <c r="B145" s="792" t="s">
        <v>355</v>
      </c>
      <c r="C145" s="1766"/>
      <c r="D145" s="1766"/>
      <c r="E145" s="1766"/>
      <c r="F145" s="1766"/>
      <c r="G145" s="1766"/>
      <c r="H145" s="1766"/>
      <c r="I145" s="1766"/>
      <c r="J145" s="1766"/>
      <c r="K145" s="1766"/>
      <c r="L145" s="1767"/>
      <c r="M145" s="1766"/>
      <c r="N145" s="1768">
        <f>SUM(C145:M145)</f>
        <v>0</v>
      </c>
      <c r="O145" s="782"/>
    </row>
    <row r="146" spans="1:40" ht="12.9" customHeight="1" x14ac:dyDescent="0.3">
      <c r="A146" s="684" t="s">
        <v>294</v>
      </c>
      <c r="B146" s="581" t="s">
        <v>463</v>
      </c>
      <c r="C146" s="1769"/>
      <c r="D146" s="1769"/>
      <c r="E146" s="1769"/>
      <c r="F146" s="1769"/>
      <c r="G146" s="1769"/>
      <c r="H146" s="1769"/>
      <c r="I146" s="1769"/>
      <c r="J146" s="1769"/>
      <c r="K146" s="1769"/>
      <c r="L146" s="1770"/>
      <c r="M146" s="1769"/>
      <c r="N146" s="1771"/>
      <c r="O146" s="747"/>
      <c r="P146" s="587"/>
      <c r="Q146" s="587"/>
      <c r="R146" s="587"/>
      <c r="S146" s="587"/>
      <c r="T146" s="587"/>
    </row>
    <row r="147" spans="1:40" s="744" customFormat="1" ht="12.9" customHeight="1" thickBot="1" x14ac:dyDescent="0.35">
      <c r="A147" s="797"/>
      <c r="B147" s="789" t="s">
        <v>356</v>
      </c>
      <c r="C147" s="1772"/>
      <c r="D147" s="1772"/>
      <c r="E147" s="1772">
        <f>'6. sz.melléklet'!E14</f>
        <v>2571210</v>
      </c>
      <c r="F147" s="1772"/>
      <c r="G147" s="1772"/>
      <c r="H147" s="1772"/>
      <c r="I147" s="1772"/>
      <c r="J147" s="1772"/>
      <c r="K147" s="1772"/>
      <c r="L147" s="1773"/>
      <c r="M147" s="1769">
        <f>SUM('6. sz.melléklet'!M14)</f>
        <v>1233365</v>
      </c>
      <c r="N147" s="1771">
        <f>SUM(C147:M147)</f>
        <v>3804575</v>
      </c>
      <c r="O147" s="747"/>
      <c r="P147" s="587"/>
      <c r="Q147" s="587"/>
      <c r="R147" s="587"/>
      <c r="S147" s="587"/>
      <c r="T147" s="587"/>
      <c r="U147" s="587"/>
      <c r="V147" s="587"/>
      <c r="W147" s="587"/>
      <c r="X147" s="587"/>
      <c r="Y147" s="587"/>
      <c r="Z147" s="587"/>
      <c r="AA147" s="587"/>
      <c r="AB147" s="587"/>
      <c r="AC147" s="587"/>
      <c r="AD147" s="587"/>
      <c r="AE147" s="587"/>
      <c r="AF147" s="587"/>
      <c r="AG147" s="587"/>
      <c r="AH147" s="587"/>
      <c r="AI147" s="587"/>
      <c r="AJ147" s="587"/>
      <c r="AK147" s="587"/>
      <c r="AL147" s="587"/>
      <c r="AM147" s="587"/>
      <c r="AN147" s="587"/>
    </row>
    <row r="148" spans="1:40" ht="0.15" customHeight="1" thickBot="1" x14ac:dyDescent="0.35">
      <c r="A148" s="745"/>
      <c r="B148" s="738" t="s">
        <v>357</v>
      </c>
      <c r="C148" s="1760"/>
      <c r="D148" s="1760"/>
      <c r="E148" s="1760"/>
      <c r="F148" s="1760"/>
      <c r="G148" s="1760"/>
      <c r="H148" s="1760"/>
      <c r="I148" s="1760">
        <f>SUM('6. sz.melléklet'!I15)</f>
        <v>3601</v>
      </c>
      <c r="J148" s="1760"/>
      <c r="K148" s="1760"/>
      <c r="L148" s="1761"/>
      <c r="M148" s="1760">
        <v>3424</v>
      </c>
      <c r="N148" s="1762">
        <f>SUM(H148:M148)</f>
        <v>7025</v>
      </c>
      <c r="O148" s="747"/>
      <c r="P148" s="587"/>
      <c r="Q148" s="587"/>
      <c r="R148" s="587"/>
      <c r="S148" s="587"/>
      <c r="T148" s="587"/>
    </row>
    <row r="149" spans="1:40" s="783" customFormat="1" ht="0.15" customHeight="1" thickBot="1" x14ac:dyDescent="0.35">
      <c r="A149" s="799"/>
      <c r="B149" s="800" t="s">
        <v>355</v>
      </c>
      <c r="C149" s="1766"/>
      <c r="D149" s="1766"/>
      <c r="E149" s="1766"/>
      <c r="F149" s="1766"/>
      <c r="G149" s="1766"/>
      <c r="H149" s="1766"/>
      <c r="I149" s="1766"/>
      <c r="J149" s="1766"/>
      <c r="K149" s="1766"/>
      <c r="L149" s="1767"/>
      <c r="M149" s="1766"/>
      <c r="N149" s="1768">
        <f>SUM(C149:M149)</f>
        <v>0</v>
      </c>
      <c r="O149" s="782"/>
    </row>
    <row r="150" spans="1:40" s="783" customFormat="1" ht="12.9" customHeight="1" x14ac:dyDescent="0.3">
      <c r="A150" s="1259" t="s">
        <v>491</v>
      </c>
      <c r="B150" s="920" t="s">
        <v>492</v>
      </c>
      <c r="C150" s="1774"/>
      <c r="D150" s="1774"/>
      <c r="E150" s="1774"/>
      <c r="F150" s="1774"/>
      <c r="G150" s="1774"/>
      <c r="H150" s="1774"/>
      <c r="I150" s="1774"/>
      <c r="J150" s="1774"/>
      <c r="K150" s="1774"/>
      <c r="L150" s="1774"/>
      <c r="M150" s="1774"/>
      <c r="N150" s="1775"/>
      <c r="O150" s="782"/>
    </row>
    <row r="151" spans="1:40" s="783" customFormat="1" ht="12.9" customHeight="1" thickBot="1" x14ac:dyDescent="0.35">
      <c r="A151" s="365"/>
      <c r="B151" s="386" t="s">
        <v>356</v>
      </c>
      <c r="C151" s="1776"/>
      <c r="D151" s="1776"/>
      <c r="E151" s="1776"/>
      <c r="F151" s="1776"/>
      <c r="G151" s="1776"/>
      <c r="H151" s="1776"/>
      <c r="I151" s="1776">
        <f>SUM('6. sz.melléklet'!I17)</f>
        <v>29645490</v>
      </c>
      <c r="J151" s="1776"/>
      <c r="K151" s="1776"/>
      <c r="L151" s="1776"/>
      <c r="M151" s="1776"/>
      <c r="N151" s="1777">
        <f>SUM(C151:M151)</f>
        <v>29645490</v>
      </c>
      <c r="O151" s="782"/>
    </row>
    <row r="152" spans="1:40" s="783" customFormat="1" ht="0.15" customHeight="1" x14ac:dyDescent="0.3">
      <c r="A152" s="799"/>
      <c r="B152" s="800"/>
      <c r="C152" s="1766"/>
      <c r="D152" s="1766"/>
      <c r="E152" s="1766"/>
      <c r="F152" s="1766"/>
      <c r="G152" s="1766"/>
      <c r="H152" s="1766"/>
      <c r="I152" s="1766"/>
      <c r="J152" s="1766"/>
      <c r="K152" s="1766"/>
      <c r="L152" s="1767"/>
      <c r="M152" s="1766"/>
      <c r="N152" s="1768"/>
      <c r="O152" s="782"/>
    </row>
    <row r="153" spans="1:40" s="783" customFormat="1" ht="0.15" customHeight="1" x14ac:dyDescent="0.3">
      <c r="A153" s="799"/>
      <c r="B153" s="800"/>
      <c r="C153" s="1766"/>
      <c r="D153" s="1766"/>
      <c r="E153" s="1766"/>
      <c r="F153" s="1766"/>
      <c r="G153" s="1766"/>
      <c r="H153" s="1766"/>
      <c r="I153" s="1766"/>
      <c r="J153" s="1766"/>
      <c r="K153" s="1766"/>
      <c r="L153" s="1767"/>
      <c r="M153" s="1766"/>
      <c r="N153" s="1768"/>
      <c r="O153" s="782"/>
    </row>
    <row r="154" spans="1:40" ht="12.9" customHeight="1" x14ac:dyDescent="0.3">
      <c r="A154" s="684" t="s">
        <v>241</v>
      </c>
      <c r="B154" s="586" t="s">
        <v>248</v>
      </c>
      <c r="C154" s="1769"/>
      <c r="D154" s="1769"/>
      <c r="E154" s="1769"/>
      <c r="F154" s="1769"/>
      <c r="G154" s="1769"/>
      <c r="H154" s="1769"/>
      <c r="I154" s="1769"/>
      <c r="J154" s="1769"/>
      <c r="K154" s="1769"/>
      <c r="L154" s="1770"/>
      <c r="M154" s="1769"/>
      <c r="N154" s="1771"/>
      <c r="O154" s="747"/>
      <c r="P154" s="587"/>
      <c r="Q154" s="587"/>
      <c r="R154" s="587"/>
      <c r="S154" s="587"/>
      <c r="T154" s="587"/>
    </row>
    <row r="155" spans="1:40" s="744" customFormat="1" ht="12.9" customHeight="1" thickBot="1" x14ac:dyDescent="0.35">
      <c r="A155" s="745"/>
      <c r="B155" s="583" t="s">
        <v>356</v>
      </c>
      <c r="C155" s="1760">
        <f>SUM('6. sz.melléklet'!C10)</f>
        <v>0</v>
      </c>
      <c r="D155" s="1760">
        <f>SUM('6. sz.melléklet'!D10)</f>
        <v>0</v>
      </c>
      <c r="E155" s="1760">
        <f>SUM('6. sz.melléklet'!E10)</f>
        <v>24358000</v>
      </c>
      <c r="F155" s="1760"/>
      <c r="G155" s="1760">
        <f>SUM('6. sz.melléklet'!G10)</f>
        <v>294039503</v>
      </c>
      <c r="H155" s="1760">
        <f>SUM('6. sz.melléklet'!H10)</f>
        <v>444908388</v>
      </c>
      <c r="I155" s="1760"/>
      <c r="J155" s="1760"/>
      <c r="K155" s="1760"/>
      <c r="L155" s="1761">
        <f>SUM('1.sz. melléklet'!B28)</f>
        <v>77670856</v>
      </c>
      <c r="M155" s="1760"/>
      <c r="N155" s="1762">
        <f>SUM(C155:M155)</f>
        <v>840976747</v>
      </c>
      <c r="O155" s="747"/>
      <c r="P155" s="587"/>
      <c r="Q155" s="587"/>
      <c r="R155" s="587"/>
      <c r="S155" s="587"/>
      <c r="T155" s="587"/>
      <c r="U155" s="587"/>
      <c r="V155" s="587"/>
      <c r="W155" s="587"/>
      <c r="X155" s="587"/>
      <c r="Y155" s="587"/>
      <c r="Z155" s="587"/>
      <c r="AA155" s="587"/>
      <c r="AB155" s="587"/>
      <c r="AC155" s="587"/>
      <c r="AD155" s="587"/>
      <c r="AE155" s="587"/>
      <c r="AF155" s="587"/>
      <c r="AG155" s="587"/>
      <c r="AH155" s="587"/>
      <c r="AI155" s="587"/>
      <c r="AJ155" s="587"/>
      <c r="AK155" s="587"/>
      <c r="AL155" s="587"/>
      <c r="AM155" s="587"/>
      <c r="AN155" s="587"/>
    </row>
    <row r="156" spans="1:40" ht="0.15" customHeight="1" thickBot="1" x14ac:dyDescent="0.35">
      <c r="A156" s="1245"/>
      <c r="B156" s="938" t="s">
        <v>357</v>
      </c>
      <c r="C156" s="1763">
        <f>SUM('6. sz.melléklet'!C11)</f>
        <v>0</v>
      </c>
      <c r="D156" s="1763">
        <f>SUM('6. sz.melléklet'!D11)</f>
        <v>0</v>
      </c>
      <c r="E156" s="1763">
        <f>SUM('6. sz.melléklet'!E11)</f>
        <v>24361656</v>
      </c>
      <c r="F156" s="1763"/>
      <c r="G156" s="1763">
        <f>SUM('6. sz.melléklet'!G11)</f>
        <v>294038302</v>
      </c>
      <c r="H156" s="1763">
        <f>SUM('6. sz.melléklet'!H11)</f>
        <v>444916190</v>
      </c>
      <c r="I156" s="1763"/>
      <c r="J156" s="1763"/>
      <c r="K156" s="1763"/>
      <c r="L156" s="1764"/>
      <c r="M156" s="1763"/>
      <c r="N156" s="1765">
        <f>SUM(C156:M156)</f>
        <v>763316148</v>
      </c>
      <c r="O156" s="747"/>
      <c r="P156" s="587"/>
      <c r="Q156" s="587"/>
      <c r="R156" s="587"/>
      <c r="S156" s="587"/>
      <c r="T156" s="587"/>
    </row>
    <row r="157" spans="1:40" s="783" customFormat="1" ht="0.15" customHeight="1" x14ac:dyDescent="0.3">
      <c r="A157" s="1102"/>
      <c r="B157" s="1013" t="s">
        <v>355</v>
      </c>
      <c r="C157" s="1766"/>
      <c r="D157" s="1766"/>
      <c r="E157" s="1766"/>
      <c r="F157" s="1766"/>
      <c r="G157" s="1766"/>
      <c r="H157" s="1766"/>
      <c r="I157" s="1766"/>
      <c r="J157" s="1766"/>
      <c r="K157" s="1766"/>
      <c r="L157" s="1767"/>
      <c r="M157" s="1766"/>
      <c r="N157" s="1768">
        <f>SUM(C157:M157)</f>
        <v>0</v>
      </c>
      <c r="O157" s="782"/>
    </row>
    <row r="158" spans="1:40" ht="12.9" customHeight="1" x14ac:dyDescent="0.3">
      <c r="A158" s="584" t="s">
        <v>231</v>
      </c>
      <c r="B158" s="586" t="s">
        <v>130</v>
      </c>
      <c r="C158" s="1778"/>
      <c r="D158" s="1778"/>
      <c r="E158" s="1778"/>
      <c r="F158" s="1769"/>
      <c r="G158" s="1769"/>
      <c r="H158" s="1769"/>
      <c r="I158" s="1769"/>
      <c r="J158" s="1769"/>
      <c r="K158" s="1769"/>
      <c r="L158" s="1770"/>
      <c r="M158" s="1769"/>
      <c r="N158" s="1771"/>
      <c r="O158" s="747"/>
      <c r="P158" s="587"/>
      <c r="Q158" s="587"/>
      <c r="R158" s="587"/>
      <c r="S158" s="587"/>
      <c r="T158" s="587"/>
    </row>
    <row r="159" spans="1:40" s="744" customFormat="1" ht="12.9" customHeight="1" thickBot="1" x14ac:dyDescent="0.35">
      <c r="A159" s="585"/>
      <c r="B159" s="583" t="s">
        <v>356</v>
      </c>
      <c r="C159" s="1779">
        <f>SUM('13.sz.melléklet'!C15)</f>
        <v>8058000</v>
      </c>
      <c r="D159" s="1779">
        <f>SUM('13.sz.melléklet'!D15)</f>
        <v>1669000</v>
      </c>
      <c r="E159" s="1779">
        <f>SUM('13.sz.melléklet'!E15)</f>
        <v>2519000</v>
      </c>
      <c r="F159" s="1760"/>
      <c r="G159" s="1760">
        <f>SUM('13.sz.melléklet'!G15)</f>
        <v>0</v>
      </c>
      <c r="H159" s="1760">
        <f>SUM('13.sz.melléklet'!F15)</f>
        <v>0</v>
      </c>
      <c r="I159" s="1760"/>
      <c r="J159" s="1760"/>
      <c r="K159" s="1760"/>
      <c r="L159" s="1761"/>
      <c r="M159" s="1760"/>
      <c r="N159" s="1762">
        <f>SUM(C159:M159)</f>
        <v>12246000</v>
      </c>
      <c r="O159" s="747"/>
      <c r="P159" s="587"/>
      <c r="Q159" s="587"/>
      <c r="R159" s="587"/>
      <c r="S159" s="587"/>
      <c r="T159" s="587"/>
      <c r="U159" s="587"/>
      <c r="V159" s="587"/>
      <c r="W159" s="587"/>
      <c r="X159" s="587"/>
      <c r="Y159" s="587"/>
      <c r="Z159" s="587"/>
      <c r="AA159" s="587"/>
      <c r="AB159" s="587"/>
      <c r="AC159" s="587"/>
      <c r="AD159" s="587"/>
      <c r="AE159" s="587"/>
      <c r="AF159" s="587"/>
      <c r="AG159" s="587"/>
      <c r="AH159" s="587"/>
      <c r="AI159" s="587"/>
      <c r="AJ159" s="587"/>
      <c r="AK159" s="587"/>
      <c r="AL159" s="587"/>
      <c r="AM159" s="587"/>
      <c r="AN159" s="587"/>
    </row>
    <row r="160" spans="1:40" ht="0.15" customHeight="1" thickBot="1" x14ac:dyDescent="0.35">
      <c r="A160" s="937"/>
      <c r="B160" s="938" t="s">
        <v>357</v>
      </c>
      <c r="C160" s="1780">
        <f>SUM('13.sz.melléklet'!C16)</f>
        <v>6893</v>
      </c>
      <c r="D160" s="1780">
        <f>SUM('13.sz.melléklet'!D16)</f>
        <v>2009</v>
      </c>
      <c r="E160" s="1780">
        <f>SUM('13.sz.melléklet'!E16)</f>
        <v>2204</v>
      </c>
      <c r="F160" s="1763"/>
      <c r="G160" s="1763">
        <f>SUM('13.sz.melléklet'!G16)</f>
        <v>0</v>
      </c>
      <c r="H160" s="1763">
        <f>SUM('13.sz.melléklet'!F16)</f>
        <v>0</v>
      </c>
      <c r="I160" s="1763"/>
      <c r="J160" s="1763"/>
      <c r="K160" s="1763"/>
      <c r="L160" s="1764"/>
      <c r="M160" s="1763"/>
      <c r="N160" s="1765">
        <f>SUM(C160:M160)</f>
        <v>11106</v>
      </c>
      <c r="O160" s="747"/>
      <c r="P160" s="587"/>
      <c r="Q160" s="587"/>
      <c r="R160" s="587"/>
      <c r="S160" s="587"/>
      <c r="T160" s="587"/>
    </row>
    <row r="161" spans="1:40" s="783" customFormat="1" ht="0.15" customHeight="1" x14ac:dyDescent="0.3">
      <c r="A161" s="793"/>
      <c r="B161" s="792" t="s">
        <v>355</v>
      </c>
      <c r="C161" s="1781"/>
      <c r="D161" s="1781"/>
      <c r="E161" s="1781"/>
      <c r="F161" s="1766"/>
      <c r="G161" s="1766"/>
      <c r="H161" s="1766"/>
      <c r="I161" s="1766"/>
      <c r="J161" s="1766"/>
      <c r="K161" s="1766"/>
      <c r="L161" s="1767"/>
      <c r="M161" s="1766"/>
      <c r="N161" s="1768">
        <f>SUM(C161:M161)</f>
        <v>0</v>
      </c>
      <c r="O161" s="782"/>
    </row>
    <row r="162" spans="1:40" ht="14.25" customHeight="1" x14ac:dyDescent="0.3">
      <c r="A162" s="580" t="s">
        <v>245</v>
      </c>
      <c r="B162" s="685" t="s">
        <v>246</v>
      </c>
      <c r="C162" s="1636"/>
      <c r="D162" s="1636"/>
      <c r="E162" s="1636"/>
      <c r="F162" s="1769"/>
      <c r="G162" s="1769"/>
      <c r="H162" s="1769"/>
      <c r="I162" s="1769"/>
      <c r="J162" s="1769"/>
      <c r="K162" s="1769"/>
      <c r="L162" s="1770"/>
      <c r="M162" s="1769"/>
      <c r="N162" s="1771"/>
      <c r="O162" s="747"/>
      <c r="P162" s="587"/>
      <c r="Q162" s="587"/>
      <c r="R162" s="587"/>
      <c r="S162" s="587"/>
      <c r="T162" s="587"/>
    </row>
    <row r="163" spans="1:40" s="744" customFormat="1" ht="14.25" customHeight="1" thickBot="1" x14ac:dyDescent="0.35">
      <c r="A163" s="582"/>
      <c r="B163" s="583" t="s">
        <v>356</v>
      </c>
      <c r="C163" s="1639"/>
      <c r="D163" s="1639"/>
      <c r="E163" s="1639">
        <f>SUM('16.sz. melléklet'!E15)</f>
        <v>1524000</v>
      </c>
      <c r="F163" s="1760"/>
      <c r="G163" s="1760"/>
      <c r="H163" s="1760"/>
      <c r="I163" s="1760"/>
      <c r="J163" s="1760"/>
      <c r="K163" s="1760"/>
      <c r="L163" s="1761"/>
      <c r="M163" s="1760"/>
      <c r="N163" s="1762">
        <f>SUM(C163:M163)</f>
        <v>1524000</v>
      </c>
      <c r="O163" s="747"/>
      <c r="P163" s="587"/>
      <c r="Q163" s="587"/>
      <c r="R163" s="587"/>
      <c r="S163" s="587"/>
      <c r="T163" s="587"/>
      <c r="U163" s="587"/>
      <c r="V163" s="587"/>
      <c r="W163" s="587"/>
      <c r="X163" s="587"/>
      <c r="Y163" s="587"/>
      <c r="Z163" s="587"/>
      <c r="AA163" s="587"/>
      <c r="AB163" s="587"/>
      <c r="AC163" s="587"/>
      <c r="AD163" s="587"/>
      <c r="AE163" s="587"/>
      <c r="AF163" s="587"/>
      <c r="AG163" s="587"/>
      <c r="AH163" s="587"/>
      <c r="AI163" s="587"/>
      <c r="AJ163" s="587"/>
      <c r="AK163" s="587"/>
      <c r="AL163" s="587"/>
      <c r="AM163" s="587"/>
      <c r="AN163" s="587"/>
    </row>
    <row r="164" spans="1:40" ht="0.15" customHeight="1" thickBot="1" x14ac:dyDescent="0.35">
      <c r="A164" s="1238"/>
      <c r="B164" s="938" t="s">
        <v>357</v>
      </c>
      <c r="C164" s="1642"/>
      <c r="D164" s="1642"/>
      <c r="E164" s="1642">
        <f>SUM('16.sz. melléklet'!E16)</f>
        <v>1524000</v>
      </c>
      <c r="F164" s="1763"/>
      <c r="G164" s="1763"/>
      <c r="H164" s="1763"/>
      <c r="I164" s="1763"/>
      <c r="J164" s="1763"/>
      <c r="K164" s="1763"/>
      <c r="L164" s="1764"/>
      <c r="M164" s="1763"/>
      <c r="N164" s="1765">
        <f>SUM(C164:M164)</f>
        <v>1524000</v>
      </c>
      <c r="O164" s="747"/>
      <c r="P164" s="587"/>
      <c r="Q164" s="587"/>
      <c r="R164" s="587"/>
      <c r="S164" s="587"/>
      <c r="T164" s="587"/>
    </row>
    <row r="165" spans="1:40" s="783" customFormat="1" ht="0.15" customHeight="1" x14ac:dyDescent="0.3">
      <c r="A165" s="791"/>
      <c r="B165" s="792" t="s">
        <v>355</v>
      </c>
      <c r="C165" s="1645"/>
      <c r="D165" s="1645"/>
      <c r="E165" s="1645"/>
      <c r="F165" s="1766"/>
      <c r="G165" s="1766"/>
      <c r="H165" s="1766"/>
      <c r="I165" s="1766"/>
      <c r="J165" s="1766"/>
      <c r="K165" s="1766"/>
      <c r="L165" s="1767"/>
      <c r="M165" s="1766"/>
      <c r="N165" s="1768">
        <f>SUM(C165:M165)</f>
        <v>0</v>
      </c>
      <c r="O165" s="782"/>
    </row>
    <row r="166" spans="1:40" ht="14.25" customHeight="1" x14ac:dyDescent="0.3">
      <c r="A166" s="584" t="s">
        <v>255</v>
      </c>
      <c r="B166" s="581" t="s">
        <v>164</v>
      </c>
      <c r="C166" s="1622"/>
      <c r="D166" s="1622"/>
      <c r="E166" s="1622"/>
      <c r="F166" s="1622"/>
      <c r="G166" s="1622"/>
      <c r="H166" s="1622"/>
      <c r="I166" s="1778"/>
      <c r="J166" s="1778"/>
      <c r="K166" s="1778"/>
      <c r="L166" s="1782"/>
      <c r="M166" s="1778"/>
      <c r="N166" s="1771"/>
      <c r="O166" s="747"/>
      <c r="P166" s="587"/>
      <c r="Q166" s="587"/>
      <c r="R166" s="587"/>
      <c r="S166" s="587"/>
      <c r="T166" s="587"/>
    </row>
    <row r="167" spans="1:40" s="744" customFormat="1" ht="14.25" customHeight="1" thickBot="1" x14ac:dyDescent="0.35">
      <c r="A167" s="585"/>
      <c r="B167" s="583" t="s">
        <v>356</v>
      </c>
      <c r="C167" s="1625"/>
      <c r="D167" s="1625"/>
      <c r="E167" s="1625">
        <f>SUM('6. sz.melléklet'!E41)</f>
        <v>9615000</v>
      </c>
      <c r="F167" s="1625"/>
      <c r="G167" s="1625">
        <f>SUM('6. sz.melléklet'!G41)</f>
        <v>0</v>
      </c>
      <c r="H167" s="1625"/>
      <c r="I167" s="1779"/>
      <c r="J167" s="1779"/>
      <c r="K167" s="1779"/>
      <c r="L167" s="1783"/>
      <c r="M167" s="1779"/>
      <c r="N167" s="1762">
        <f>SUM(C167:M167)</f>
        <v>9615000</v>
      </c>
      <c r="O167" s="747"/>
      <c r="P167" s="587"/>
      <c r="Q167" s="587"/>
      <c r="R167" s="587"/>
      <c r="S167" s="587"/>
      <c r="T167" s="587"/>
      <c r="U167" s="587"/>
      <c r="V167" s="587"/>
      <c r="W167" s="587"/>
      <c r="X167" s="587"/>
      <c r="Y167" s="587"/>
      <c r="Z167" s="587"/>
      <c r="AA167" s="587"/>
      <c r="AB167" s="587"/>
      <c r="AC167" s="587"/>
      <c r="AD167" s="587"/>
      <c r="AE167" s="587"/>
      <c r="AF167" s="587"/>
      <c r="AG167" s="587"/>
      <c r="AH167" s="587"/>
      <c r="AI167" s="587"/>
      <c r="AJ167" s="587"/>
      <c r="AK167" s="587"/>
      <c r="AL167" s="587"/>
      <c r="AM167" s="587"/>
      <c r="AN167" s="587"/>
    </row>
    <row r="168" spans="1:40" ht="0.15" customHeight="1" thickBot="1" x14ac:dyDescent="0.35">
      <c r="A168" s="937"/>
      <c r="B168" s="938" t="s">
        <v>357</v>
      </c>
      <c r="C168" s="1628"/>
      <c r="D168" s="1628"/>
      <c r="E168" s="1628">
        <f>SUM('6. sz.melléklet'!E42)</f>
        <v>9617738</v>
      </c>
      <c r="F168" s="1628"/>
      <c r="G168" s="1628">
        <f>SUM('6. sz.melléklet'!G42)</f>
        <v>0</v>
      </c>
      <c r="H168" s="1628"/>
      <c r="I168" s="1780"/>
      <c r="J168" s="1780"/>
      <c r="K168" s="1780"/>
      <c r="L168" s="1784"/>
      <c r="M168" s="1780"/>
      <c r="N168" s="1765">
        <f>SUM(C168:M168)</f>
        <v>9617738</v>
      </c>
      <c r="O168" s="747"/>
      <c r="P168" s="587"/>
      <c r="Q168" s="587"/>
      <c r="R168" s="587"/>
      <c r="S168" s="587"/>
      <c r="T168" s="587"/>
    </row>
    <row r="169" spans="1:40" s="783" customFormat="1" ht="0.15" customHeight="1" x14ac:dyDescent="0.3">
      <c r="A169" s="793"/>
      <c r="B169" s="792" t="s">
        <v>355</v>
      </c>
      <c r="C169" s="1631"/>
      <c r="D169" s="1631"/>
      <c r="E169" s="1631"/>
      <c r="F169" s="1631"/>
      <c r="G169" s="1631"/>
      <c r="H169" s="1631"/>
      <c r="I169" s="1781"/>
      <c r="J169" s="1781"/>
      <c r="K169" s="1781"/>
      <c r="L169" s="1785"/>
      <c r="M169" s="1781"/>
      <c r="N169" s="1768">
        <f>SUM(C169:M169)</f>
        <v>0</v>
      </c>
      <c r="O169" s="782"/>
    </row>
    <row r="170" spans="1:40" ht="41.4" x14ac:dyDescent="0.3">
      <c r="A170" s="584" t="s">
        <v>256</v>
      </c>
      <c r="B170" s="581" t="s">
        <v>257</v>
      </c>
      <c r="C170" s="1622"/>
      <c r="D170" s="1622"/>
      <c r="E170" s="1622"/>
      <c r="F170" s="1622"/>
      <c r="G170" s="1622"/>
      <c r="H170" s="1622"/>
      <c r="I170" s="1778"/>
      <c r="J170" s="1778"/>
      <c r="K170" s="1778"/>
      <c r="L170" s="1782"/>
      <c r="M170" s="1778"/>
      <c r="N170" s="1771"/>
      <c r="O170" s="747"/>
      <c r="P170" s="587"/>
      <c r="Q170" s="587"/>
      <c r="R170" s="587"/>
      <c r="S170" s="587"/>
      <c r="T170" s="587"/>
    </row>
    <row r="171" spans="1:40" s="744" customFormat="1" ht="14.25" customHeight="1" thickBot="1" x14ac:dyDescent="0.35">
      <c r="A171" s="585"/>
      <c r="B171" s="583" t="s">
        <v>356</v>
      </c>
      <c r="C171" s="1625"/>
      <c r="D171" s="1625"/>
      <c r="E171" s="1625">
        <f>SUM('6. sz.melléklet'!E45)</f>
        <v>1188000</v>
      </c>
      <c r="F171" s="1625"/>
      <c r="G171" s="1625"/>
      <c r="H171" s="1625"/>
      <c r="I171" s="1779"/>
      <c r="J171" s="1779"/>
      <c r="K171" s="1779"/>
      <c r="L171" s="1783"/>
      <c r="M171" s="1779"/>
      <c r="N171" s="1762">
        <f>SUM(C171:M171)</f>
        <v>1188000</v>
      </c>
      <c r="O171" s="747"/>
      <c r="P171" s="587"/>
      <c r="Q171" s="587"/>
      <c r="R171" s="587"/>
      <c r="S171" s="587"/>
      <c r="T171" s="587"/>
      <c r="U171" s="587"/>
      <c r="V171" s="587"/>
      <c r="W171" s="587"/>
      <c r="X171" s="587"/>
      <c r="Y171" s="587"/>
      <c r="Z171" s="587"/>
      <c r="AA171" s="587"/>
      <c r="AB171" s="587"/>
      <c r="AC171" s="587"/>
      <c r="AD171" s="587"/>
      <c r="AE171" s="587"/>
      <c r="AF171" s="587"/>
      <c r="AG171" s="587"/>
      <c r="AH171" s="587"/>
      <c r="AI171" s="587"/>
      <c r="AJ171" s="587"/>
      <c r="AK171" s="587"/>
      <c r="AL171" s="587"/>
      <c r="AM171" s="587"/>
      <c r="AN171" s="587"/>
    </row>
    <row r="172" spans="1:40" ht="0.15" customHeight="1" thickBot="1" x14ac:dyDescent="0.35">
      <c r="A172" s="937"/>
      <c r="B172" s="938" t="s">
        <v>357</v>
      </c>
      <c r="C172" s="1628"/>
      <c r="D172" s="1628"/>
      <c r="E172" s="1628">
        <f>SUM('6. sz.melléklet'!E46)</f>
        <v>1190738</v>
      </c>
      <c r="F172" s="1628"/>
      <c r="G172" s="1628"/>
      <c r="H172" s="1628"/>
      <c r="I172" s="1780"/>
      <c r="J172" s="1780"/>
      <c r="K172" s="1780"/>
      <c r="L172" s="1784"/>
      <c r="M172" s="1780"/>
      <c r="N172" s="1765">
        <f>SUM(C172:M172)</f>
        <v>1190738</v>
      </c>
      <c r="O172" s="747"/>
      <c r="P172" s="587"/>
      <c r="Q172" s="587"/>
      <c r="R172" s="587"/>
      <c r="S172" s="587"/>
      <c r="T172" s="587"/>
    </row>
    <row r="173" spans="1:40" s="783" customFormat="1" ht="0.15" customHeight="1" x14ac:dyDescent="0.3">
      <c r="A173" s="793"/>
      <c r="B173" s="792" t="s">
        <v>355</v>
      </c>
      <c r="C173" s="1631"/>
      <c r="D173" s="1631"/>
      <c r="E173" s="1631"/>
      <c r="F173" s="1631"/>
      <c r="G173" s="1631"/>
      <c r="H173" s="1631"/>
      <c r="I173" s="1781"/>
      <c r="J173" s="1781"/>
      <c r="K173" s="1781"/>
      <c r="L173" s="1785"/>
      <c r="M173" s="1781"/>
      <c r="N173" s="1768">
        <f>SUM(C173:M173)</f>
        <v>0</v>
      </c>
      <c r="O173" s="782"/>
    </row>
    <row r="174" spans="1:40" ht="14.25" customHeight="1" x14ac:dyDescent="0.3">
      <c r="A174" s="584" t="s">
        <v>276</v>
      </c>
      <c r="B174" s="581" t="s">
        <v>1</v>
      </c>
      <c r="C174" s="1786"/>
      <c r="D174" s="1622"/>
      <c r="E174" s="1622"/>
      <c r="F174" s="1622"/>
      <c r="G174" s="1622"/>
      <c r="H174" s="1622"/>
      <c r="I174" s="1778"/>
      <c r="J174" s="1778"/>
      <c r="K174" s="1778"/>
      <c r="L174" s="1782"/>
      <c r="M174" s="1778"/>
      <c r="N174" s="1771"/>
      <c r="O174" s="747"/>
      <c r="P174" s="587"/>
      <c r="Q174" s="587"/>
      <c r="R174" s="587"/>
      <c r="S174" s="587"/>
      <c r="T174" s="587"/>
    </row>
    <row r="175" spans="1:40" s="744" customFormat="1" ht="14.25" customHeight="1" thickBot="1" x14ac:dyDescent="0.35">
      <c r="A175" s="585"/>
      <c r="B175" s="583" t="s">
        <v>356</v>
      </c>
      <c r="C175" s="1787"/>
      <c r="D175" s="1625"/>
      <c r="E175" s="1625">
        <f>SUM('6. sz.melléklet'!E49)</f>
        <v>17507000</v>
      </c>
      <c r="F175" s="1625"/>
      <c r="G175" s="1625"/>
      <c r="H175" s="1625"/>
      <c r="I175" s="1779"/>
      <c r="J175" s="1779"/>
      <c r="K175" s="1779"/>
      <c r="L175" s="1783"/>
      <c r="M175" s="1779"/>
      <c r="N175" s="1762">
        <f>SUM(C175:M175)</f>
        <v>17507000</v>
      </c>
      <c r="O175" s="747"/>
      <c r="P175" s="587"/>
      <c r="Q175" s="587"/>
      <c r="R175" s="587"/>
      <c r="S175" s="587"/>
      <c r="T175" s="587"/>
      <c r="U175" s="587"/>
      <c r="V175" s="587"/>
      <c r="W175" s="587"/>
      <c r="X175" s="587"/>
      <c r="Y175" s="587"/>
      <c r="Z175" s="587"/>
      <c r="AA175" s="587"/>
      <c r="AB175" s="587"/>
      <c r="AC175" s="587"/>
      <c r="AD175" s="587"/>
      <c r="AE175" s="587"/>
      <c r="AF175" s="587"/>
      <c r="AG175" s="587"/>
      <c r="AH175" s="587"/>
      <c r="AI175" s="587"/>
      <c r="AJ175" s="587"/>
      <c r="AK175" s="587"/>
      <c r="AL175" s="587"/>
      <c r="AM175" s="587"/>
      <c r="AN175" s="587"/>
    </row>
    <row r="176" spans="1:40" ht="0.15" customHeight="1" thickBot="1" x14ac:dyDescent="0.35">
      <c r="A176" s="937"/>
      <c r="B176" s="938" t="s">
        <v>357</v>
      </c>
      <c r="C176" s="1788"/>
      <c r="D176" s="1628"/>
      <c r="E176" s="1628">
        <f>SUM('6. sz.melléklet'!E50)</f>
        <v>17507000</v>
      </c>
      <c r="F176" s="1628"/>
      <c r="G176" s="1628"/>
      <c r="H176" s="1628"/>
      <c r="I176" s="1780"/>
      <c r="J176" s="1780"/>
      <c r="K176" s="1780"/>
      <c r="L176" s="1784"/>
      <c r="M176" s="1780"/>
      <c r="N176" s="1765">
        <f>SUM(C176:M176)</f>
        <v>17507000</v>
      </c>
      <c r="O176" s="747"/>
      <c r="P176" s="587"/>
      <c r="Q176" s="587"/>
      <c r="R176" s="587"/>
      <c r="S176" s="587"/>
      <c r="T176" s="587"/>
    </row>
    <row r="177" spans="1:40" s="783" customFormat="1" ht="0.15" customHeight="1" x14ac:dyDescent="0.3">
      <c r="A177" s="793"/>
      <c r="B177" s="792" t="s">
        <v>355</v>
      </c>
      <c r="C177" s="1789"/>
      <c r="D177" s="1631"/>
      <c r="E177" s="1631"/>
      <c r="F177" s="1631"/>
      <c r="G177" s="1631"/>
      <c r="H177" s="1631"/>
      <c r="I177" s="1781"/>
      <c r="J177" s="1781"/>
      <c r="K177" s="1781"/>
      <c r="L177" s="1785"/>
      <c r="M177" s="1781"/>
      <c r="N177" s="1768">
        <f>SUM(C177:M177)</f>
        <v>0</v>
      </c>
      <c r="O177" s="782"/>
    </row>
    <row r="178" spans="1:40" ht="14.25" customHeight="1" x14ac:dyDescent="0.3">
      <c r="A178" s="584" t="s">
        <v>277</v>
      </c>
      <c r="B178" s="581" t="s">
        <v>507</v>
      </c>
      <c r="C178" s="1622"/>
      <c r="D178" s="1622"/>
      <c r="E178" s="1622"/>
      <c r="F178" s="1622"/>
      <c r="G178" s="1622"/>
      <c r="H178" s="1622"/>
      <c r="I178" s="1778"/>
      <c r="J178" s="1778"/>
      <c r="K178" s="1778"/>
      <c r="L178" s="1782"/>
      <c r="M178" s="1778"/>
      <c r="N178" s="1771"/>
      <c r="O178" s="747"/>
      <c r="P178" s="587"/>
      <c r="Q178" s="587"/>
      <c r="R178" s="587"/>
      <c r="S178" s="587"/>
      <c r="T178" s="587"/>
    </row>
    <row r="179" spans="1:40" s="744" customFormat="1" ht="14.25" customHeight="1" thickBot="1" x14ac:dyDescent="0.35">
      <c r="A179" s="585"/>
      <c r="B179" s="583" t="s">
        <v>356</v>
      </c>
      <c r="C179" s="1625"/>
      <c r="D179" s="1625"/>
      <c r="E179" s="1625">
        <f>SUM('6. sz.melléklet'!E53)</f>
        <v>3277000</v>
      </c>
      <c r="F179" s="1625"/>
      <c r="G179" s="1625"/>
      <c r="H179" s="1625"/>
      <c r="I179" s="1779"/>
      <c r="J179" s="1779"/>
      <c r="K179" s="1779"/>
      <c r="L179" s="1783"/>
      <c r="M179" s="1779"/>
      <c r="N179" s="1762">
        <f>SUM(C179:M179)</f>
        <v>3277000</v>
      </c>
      <c r="O179" s="747"/>
      <c r="P179" s="587"/>
      <c r="Q179" s="587"/>
      <c r="R179" s="587"/>
      <c r="S179" s="587"/>
      <c r="T179" s="587"/>
      <c r="U179" s="587"/>
      <c r="V179" s="587"/>
      <c r="W179" s="587"/>
      <c r="X179" s="587"/>
      <c r="Y179" s="587"/>
      <c r="Z179" s="587"/>
      <c r="AA179" s="587"/>
      <c r="AB179" s="587"/>
      <c r="AC179" s="587"/>
      <c r="AD179" s="587"/>
      <c r="AE179" s="587"/>
      <c r="AF179" s="587"/>
      <c r="AG179" s="587"/>
      <c r="AH179" s="587"/>
      <c r="AI179" s="587"/>
      <c r="AJ179" s="587"/>
      <c r="AK179" s="587"/>
      <c r="AL179" s="587"/>
      <c r="AM179" s="587"/>
      <c r="AN179" s="587"/>
    </row>
    <row r="180" spans="1:40" ht="0.15" customHeight="1" thickBot="1" x14ac:dyDescent="0.35">
      <c r="A180" s="937"/>
      <c r="B180" s="938" t="s">
        <v>357</v>
      </c>
      <c r="C180" s="1628"/>
      <c r="D180" s="1628"/>
      <c r="E180" s="1628">
        <f>SUM('6. sz.melléklet'!E54)</f>
        <v>3277000</v>
      </c>
      <c r="F180" s="1628"/>
      <c r="G180" s="1628"/>
      <c r="H180" s="1628"/>
      <c r="I180" s="1780"/>
      <c r="J180" s="1780"/>
      <c r="K180" s="1780"/>
      <c r="L180" s="1784"/>
      <c r="M180" s="1780"/>
      <c r="N180" s="1765">
        <f>SUM(C180:M180)</f>
        <v>3277000</v>
      </c>
      <c r="O180" s="747"/>
      <c r="P180" s="587"/>
      <c r="Q180" s="587"/>
      <c r="R180" s="587"/>
      <c r="S180" s="587"/>
      <c r="T180" s="587"/>
    </row>
    <row r="181" spans="1:40" s="783" customFormat="1" ht="0.15" customHeight="1" x14ac:dyDescent="0.3">
      <c r="A181" s="793"/>
      <c r="B181" s="792" t="s">
        <v>355</v>
      </c>
      <c r="C181" s="1631"/>
      <c r="D181" s="1631"/>
      <c r="E181" s="1631"/>
      <c r="F181" s="1631"/>
      <c r="G181" s="1631"/>
      <c r="H181" s="1631"/>
      <c r="I181" s="1781"/>
      <c r="J181" s="1781"/>
      <c r="K181" s="1781"/>
      <c r="L181" s="1785"/>
      <c r="M181" s="1781"/>
      <c r="N181" s="1768">
        <f>SUM(C181:M181)</f>
        <v>0</v>
      </c>
      <c r="O181" s="782"/>
    </row>
    <row r="182" spans="1:40" ht="14.25" customHeight="1" x14ac:dyDescent="0.3">
      <c r="A182" s="584" t="s">
        <v>247</v>
      </c>
      <c r="B182" s="581" t="s">
        <v>291</v>
      </c>
      <c r="C182" s="1622"/>
      <c r="D182" s="1622"/>
      <c r="E182" s="1622"/>
      <c r="F182" s="1622"/>
      <c r="G182" s="1622"/>
      <c r="H182" s="1622"/>
      <c r="I182" s="1778"/>
      <c r="J182" s="1778"/>
      <c r="K182" s="1778"/>
      <c r="L182" s="1782"/>
      <c r="M182" s="1778"/>
      <c r="N182" s="1771"/>
      <c r="O182" s="747"/>
      <c r="P182" s="587"/>
      <c r="Q182" s="587"/>
      <c r="R182" s="587"/>
      <c r="S182" s="587"/>
      <c r="T182" s="587"/>
    </row>
    <row r="183" spans="1:40" s="744" customFormat="1" ht="14.25" customHeight="1" thickBot="1" x14ac:dyDescent="0.35">
      <c r="A183" s="585"/>
      <c r="B183" s="583" t="s">
        <v>356</v>
      </c>
      <c r="C183" s="1625">
        <f>SUM('16.sz. melléklet'!C19)</f>
        <v>39451000</v>
      </c>
      <c r="D183" s="1625">
        <f>SUM('16.sz. melléklet'!D19)</f>
        <v>8187000</v>
      </c>
      <c r="E183" s="1625">
        <f>SUM('16.sz. melléklet'!E19)</f>
        <v>13280000</v>
      </c>
      <c r="F183" s="1625"/>
      <c r="G183" s="1625"/>
      <c r="H183" s="1625">
        <f>SUM('16.sz. melléklet'!F19)</f>
        <v>1210000</v>
      </c>
      <c r="I183" s="1779"/>
      <c r="J183" s="1779"/>
      <c r="K183" s="1779"/>
      <c r="L183" s="1783"/>
      <c r="M183" s="1779"/>
      <c r="N183" s="1762">
        <f>SUM(C183:M183)</f>
        <v>62128000</v>
      </c>
      <c r="O183" s="747"/>
      <c r="P183" s="587"/>
      <c r="Q183" s="587"/>
      <c r="R183" s="587"/>
      <c r="S183" s="587"/>
      <c r="T183" s="587"/>
      <c r="U183" s="587"/>
      <c r="V183" s="587"/>
      <c r="W183" s="587"/>
      <c r="X183" s="587"/>
      <c r="Y183" s="587"/>
      <c r="Z183" s="587"/>
      <c r="AA183" s="587"/>
      <c r="AB183" s="587"/>
      <c r="AC183" s="587"/>
      <c r="AD183" s="587"/>
      <c r="AE183" s="587"/>
      <c r="AF183" s="587"/>
      <c r="AG183" s="587"/>
      <c r="AH183" s="587"/>
      <c r="AI183" s="587"/>
      <c r="AJ183" s="587"/>
      <c r="AK183" s="587"/>
      <c r="AL183" s="587"/>
      <c r="AM183" s="587"/>
      <c r="AN183" s="587"/>
    </row>
    <row r="184" spans="1:40" ht="0.15" customHeight="1" thickBot="1" x14ac:dyDescent="0.35">
      <c r="A184" s="937"/>
      <c r="B184" s="938" t="s">
        <v>357</v>
      </c>
      <c r="C184" s="1628">
        <f>SUM('16.sz. melléklet'!C20)</f>
        <v>39451090</v>
      </c>
      <c r="D184" s="1628">
        <f>SUM('16.sz. melléklet'!D20)</f>
        <v>8187025</v>
      </c>
      <c r="E184" s="1628">
        <f>SUM('16.sz. melléklet'!E20)</f>
        <v>13279200</v>
      </c>
      <c r="F184" s="1628"/>
      <c r="G184" s="1628"/>
      <c r="H184" s="1628">
        <f>SUM('16.sz. melléklet'!F20)</f>
        <v>1210247</v>
      </c>
      <c r="I184" s="1780"/>
      <c r="J184" s="1780"/>
      <c r="K184" s="1780"/>
      <c r="L184" s="1784"/>
      <c r="M184" s="1780"/>
      <c r="N184" s="1765">
        <f>SUM(C184:M184)</f>
        <v>62127562</v>
      </c>
      <c r="O184" s="747"/>
      <c r="P184" s="587"/>
      <c r="Q184" s="587"/>
      <c r="R184" s="587"/>
      <c r="S184" s="587"/>
      <c r="T184" s="587"/>
    </row>
    <row r="185" spans="1:40" s="783" customFormat="1" ht="0.15" customHeight="1" x14ac:dyDescent="0.3">
      <c r="A185" s="793"/>
      <c r="B185" s="792" t="s">
        <v>355</v>
      </c>
      <c r="C185" s="1631"/>
      <c r="D185" s="1631"/>
      <c r="E185" s="1631"/>
      <c r="F185" s="1631"/>
      <c r="G185" s="1631"/>
      <c r="H185" s="1631"/>
      <c r="I185" s="1781"/>
      <c r="J185" s="1781"/>
      <c r="K185" s="1781"/>
      <c r="L185" s="1785"/>
      <c r="M185" s="1781"/>
      <c r="N185" s="1768">
        <f>SUM(C185:M185)</f>
        <v>0</v>
      </c>
      <c r="O185" s="782"/>
    </row>
    <row r="186" spans="1:40" ht="14.25" customHeight="1" x14ac:dyDescent="0.3">
      <c r="A186" s="584" t="s">
        <v>258</v>
      </c>
      <c r="B186" s="581" t="s">
        <v>259</v>
      </c>
      <c r="C186" s="1622"/>
      <c r="D186" s="1622"/>
      <c r="E186" s="1622"/>
      <c r="F186" s="1622"/>
      <c r="G186" s="1622"/>
      <c r="H186" s="1622"/>
      <c r="I186" s="1778"/>
      <c r="J186" s="1778"/>
      <c r="K186" s="1778"/>
      <c r="L186" s="1782"/>
      <c r="M186" s="1778"/>
      <c r="N186" s="1771"/>
      <c r="O186" s="747"/>
      <c r="P186" s="587"/>
      <c r="Q186" s="587"/>
      <c r="R186" s="587"/>
      <c r="S186" s="587"/>
      <c r="T186" s="587"/>
    </row>
    <row r="187" spans="1:40" s="744" customFormat="1" ht="14.25" customHeight="1" thickBot="1" x14ac:dyDescent="0.35">
      <c r="A187" s="585"/>
      <c r="B187" s="583" t="s">
        <v>356</v>
      </c>
      <c r="C187" s="1625"/>
      <c r="D187" s="1625"/>
      <c r="E187" s="1625">
        <f>SUM('6. sz.melléklet'!E57)</f>
        <v>1702000</v>
      </c>
      <c r="F187" s="1625"/>
      <c r="G187" s="1625"/>
      <c r="H187" s="1625"/>
      <c r="I187" s="1779"/>
      <c r="J187" s="1779"/>
      <c r="K187" s="1779"/>
      <c r="L187" s="1783"/>
      <c r="M187" s="1779"/>
      <c r="N187" s="1762">
        <f>SUM(C187:M187)</f>
        <v>1702000</v>
      </c>
      <c r="O187" s="747"/>
      <c r="P187" s="587"/>
      <c r="Q187" s="587"/>
      <c r="R187" s="587"/>
      <c r="S187" s="587"/>
      <c r="T187" s="587"/>
      <c r="U187" s="587"/>
      <c r="V187" s="587"/>
      <c r="W187" s="587"/>
      <c r="X187" s="587"/>
      <c r="Y187" s="587"/>
      <c r="Z187" s="587"/>
      <c r="AA187" s="587"/>
      <c r="AB187" s="587"/>
      <c r="AC187" s="587"/>
      <c r="AD187" s="587"/>
      <c r="AE187" s="587"/>
      <c r="AF187" s="587"/>
      <c r="AG187" s="587"/>
      <c r="AH187" s="587"/>
      <c r="AI187" s="587"/>
      <c r="AJ187" s="587"/>
      <c r="AK187" s="587"/>
      <c r="AL187" s="587"/>
      <c r="AM187" s="587"/>
      <c r="AN187" s="587"/>
    </row>
    <row r="188" spans="1:40" ht="0.15" customHeight="1" thickBot="1" x14ac:dyDescent="0.35">
      <c r="A188" s="937"/>
      <c r="B188" s="938" t="s">
        <v>357</v>
      </c>
      <c r="C188" s="1628"/>
      <c r="D188" s="1628"/>
      <c r="E188" s="1628"/>
      <c r="F188" s="1628"/>
      <c r="G188" s="1628"/>
      <c r="H188" s="1628"/>
      <c r="I188" s="1780"/>
      <c r="J188" s="1780"/>
      <c r="K188" s="1780"/>
      <c r="L188" s="1784"/>
      <c r="M188" s="1780"/>
      <c r="N188" s="1765">
        <f>SUM(C188:M188)</f>
        <v>0</v>
      </c>
      <c r="O188" s="747"/>
      <c r="P188" s="587"/>
      <c r="Q188" s="587"/>
      <c r="R188" s="587"/>
      <c r="S188" s="587"/>
      <c r="T188" s="587"/>
    </row>
    <row r="189" spans="1:40" s="783" customFormat="1" ht="0.15" customHeight="1" x14ac:dyDescent="0.3">
      <c r="A189" s="793"/>
      <c r="B189" s="792" t="s">
        <v>355</v>
      </c>
      <c r="C189" s="1631"/>
      <c r="D189" s="1631"/>
      <c r="E189" s="1631"/>
      <c r="F189" s="1631"/>
      <c r="G189" s="1631"/>
      <c r="H189" s="1631"/>
      <c r="I189" s="1781"/>
      <c r="J189" s="1781"/>
      <c r="K189" s="1781"/>
      <c r="L189" s="1785"/>
      <c r="M189" s="1781"/>
      <c r="N189" s="1768">
        <f>SUM(C189:M189)</f>
        <v>0</v>
      </c>
      <c r="O189" s="782"/>
    </row>
    <row r="190" spans="1:40" ht="14.25" customHeight="1" x14ac:dyDescent="0.3">
      <c r="A190" s="584" t="s">
        <v>260</v>
      </c>
      <c r="B190" s="581" t="s">
        <v>110</v>
      </c>
      <c r="C190" s="1622"/>
      <c r="D190" s="1622"/>
      <c r="E190" s="1622"/>
      <c r="F190" s="1622"/>
      <c r="G190" s="1622"/>
      <c r="H190" s="1622"/>
      <c r="I190" s="1778"/>
      <c r="J190" s="1778"/>
      <c r="K190" s="1778"/>
      <c r="L190" s="1782"/>
      <c r="M190" s="1778"/>
      <c r="N190" s="1771"/>
      <c r="O190" s="747"/>
      <c r="P190" s="587"/>
      <c r="Q190" s="587"/>
      <c r="R190" s="587"/>
      <c r="S190" s="587"/>
      <c r="T190" s="587"/>
    </row>
    <row r="191" spans="1:40" s="744" customFormat="1" ht="14.25" customHeight="1" thickBot="1" x14ac:dyDescent="0.35">
      <c r="A191" s="585"/>
      <c r="B191" s="583" t="s">
        <v>356</v>
      </c>
      <c r="C191" s="1625"/>
      <c r="D191" s="1625"/>
      <c r="E191" s="1625">
        <f>SUM('6. sz.melléklet'!E61)</f>
        <v>23238000</v>
      </c>
      <c r="F191" s="1625"/>
      <c r="G191" s="1625"/>
      <c r="H191" s="1625">
        <f>SUM('6. sz.melléklet'!H61)</f>
        <v>400000</v>
      </c>
      <c r="I191" s="1779"/>
      <c r="J191" s="1779"/>
      <c r="K191" s="1779"/>
      <c r="L191" s="1783"/>
      <c r="M191" s="1779"/>
      <c r="N191" s="1762">
        <f>SUM(C191:M191)</f>
        <v>23638000</v>
      </c>
      <c r="O191" s="747"/>
      <c r="P191" s="587"/>
      <c r="Q191" s="587"/>
      <c r="R191" s="587"/>
      <c r="S191" s="587"/>
      <c r="T191" s="587"/>
      <c r="U191" s="587"/>
      <c r="V191" s="587"/>
      <c r="W191" s="587"/>
      <c r="X191" s="587"/>
      <c r="Y191" s="587"/>
      <c r="Z191" s="587"/>
      <c r="AA191" s="587"/>
      <c r="AB191" s="587"/>
      <c r="AC191" s="587"/>
      <c r="AD191" s="587"/>
      <c r="AE191" s="587"/>
      <c r="AF191" s="587"/>
      <c r="AG191" s="587"/>
      <c r="AH191" s="587"/>
      <c r="AI191" s="587"/>
      <c r="AJ191" s="587"/>
      <c r="AK191" s="587"/>
      <c r="AL191" s="587"/>
      <c r="AM191" s="587"/>
      <c r="AN191" s="587"/>
    </row>
    <row r="192" spans="1:40" ht="0.15" customHeight="1" thickBot="1" x14ac:dyDescent="0.35">
      <c r="A192" s="937"/>
      <c r="B192" s="938" t="s">
        <v>357</v>
      </c>
      <c r="C192" s="1628"/>
      <c r="D192" s="1628"/>
      <c r="E192" s="1628">
        <f>SUM('6. sz.melléklet'!E62)</f>
        <v>23238000</v>
      </c>
      <c r="F192" s="1628"/>
      <c r="G192" s="1628"/>
      <c r="H192" s="1628"/>
      <c r="I192" s="1780"/>
      <c r="J192" s="1780"/>
      <c r="K192" s="1780"/>
      <c r="L192" s="1784"/>
      <c r="M192" s="1780"/>
      <c r="N192" s="1765">
        <f>SUM(C192:M192)</f>
        <v>23238000</v>
      </c>
      <c r="O192" s="747"/>
      <c r="P192" s="587"/>
      <c r="Q192" s="587"/>
      <c r="R192" s="587"/>
      <c r="S192" s="587"/>
      <c r="T192" s="587"/>
    </row>
    <row r="193" spans="1:40" s="783" customFormat="1" ht="0.15" customHeight="1" x14ac:dyDescent="0.3">
      <c r="A193" s="793"/>
      <c r="B193" s="792" t="s">
        <v>355</v>
      </c>
      <c r="C193" s="1631"/>
      <c r="D193" s="1631"/>
      <c r="E193" s="1631"/>
      <c r="F193" s="1631"/>
      <c r="G193" s="1631"/>
      <c r="H193" s="1631"/>
      <c r="I193" s="1781"/>
      <c r="J193" s="1781"/>
      <c r="K193" s="1781"/>
      <c r="L193" s="1785"/>
      <c r="M193" s="1781"/>
      <c r="N193" s="1768">
        <f>SUM(C193:M193)</f>
        <v>0</v>
      </c>
      <c r="O193" s="782"/>
    </row>
    <row r="194" spans="1:40" ht="21" customHeight="1" x14ac:dyDescent="0.3">
      <c r="A194" s="584" t="s">
        <v>261</v>
      </c>
      <c r="B194" s="581" t="s">
        <v>112</v>
      </c>
      <c r="C194" s="1622"/>
      <c r="D194" s="1622"/>
      <c r="E194" s="1622"/>
      <c r="F194" s="1622"/>
      <c r="G194" s="1622"/>
      <c r="H194" s="1622"/>
      <c r="I194" s="1778"/>
      <c r="J194" s="1778"/>
      <c r="K194" s="1778"/>
      <c r="L194" s="1782"/>
      <c r="M194" s="1778"/>
      <c r="N194" s="1771"/>
      <c r="O194" s="747"/>
      <c r="P194" s="587"/>
      <c r="Q194" s="587"/>
      <c r="R194" s="587"/>
      <c r="S194" s="587"/>
      <c r="T194" s="587"/>
    </row>
    <row r="195" spans="1:40" s="744" customFormat="1" ht="14.25" customHeight="1" thickBot="1" x14ac:dyDescent="0.35">
      <c r="A195" s="585"/>
      <c r="B195" s="583" t="s">
        <v>356</v>
      </c>
      <c r="C195" s="1625">
        <f>SUM('6. sz.melléklet'!C65)</f>
        <v>8392000</v>
      </c>
      <c r="D195" s="1625">
        <f>SUM('6. sz.melléklet'!D65)</f>
        <v>1755000</v>
      </c>
      <c r="E195" s="1625">
        <f>SUM('6. sz.melléklet'!E65)</f>
        <v>1578000</v>
      </c>
      <c r="F195" s="1625"/>
      <c r="G195" s="1625"/>
      <c r="H195" s="1625">
        <f>SUM('6. sz.melléklet'!H65)</f>
        <v>300000</v>
      </c>
      <c r="I195" s="1779"/>
      <c r="J195" s="1779"/>
      <c r="K195" s="1779"/>
      <c r="L195" s="1783"/>
      <c r="M195" s="1779"/>
      <c r="N195" s="1762">
        <f>SUM(C195:M195)</f>
        <v>12025000</v>
      </c>
      <c r="O195" s="747"/>
      <c r="P195" s="587"/>
      <c r="Q195" s="587"/>
      <c r="R195" s="587"/>
      <c r="S195" s="587"/>
      <c r="T195" s="587"/>
      <c r="U195" s="587"/>
      <c r="V195" s="587"/>
      <c r="W195" s="587"/>
      <c r="X195" s="587"/>
      <c r="Y195" s="587"/>
      <c r="Z195" s="587"/>
      <c r="AA195" s="587"/>
      <c r="AB195" s="587"/>
      <c r="AC195" s="587"/>
      <c r="AD195" s="587"/>
      <c r="AE195" s="587"/>
      <c r="AF195" s="587"/>
      <c r="AG195" s="587"/>
      <c r="AH195" s="587"/>
      <c r="AI195" s="587"/>
      <c r="AJ195" s="587"/>
      <c r="AK195" s="587"/>
      <c r="AL195" s="587"/>
      <c r="AM195" s="587"/>
      <c r="AN195" s="587"/>
    </row>
    <row r="196" spans="1:40" ht="0.15" customHeight="1" thickBot="1" x14ac:dyDescent="0.35">
      <c r="A196" s="937"/>
      <c r="B196" s="938" t="s">
        <v>357</v>
      </c>
      <c r="C196" s="1628">
        <f>SUM('6. sz.melléklet'!C66)</f>
        <v>8392026</v>
      </c>
      <c r="D196" s="1628">
        <f>SUM('6. sz.melléklet'!D66)</f>
        <v>1755006</v>
      </c>
      <c r="E196" s="1628">
        <f>SUM('6. sz.melléklet'!E66)</f>
        <v>1578000</v>
      </c>
      <c r="F196" s="1628"/>
      <c r="G196" s="1628"/>
      <c r="H196" s="1628">
        <f>SUM('6. sz.melléklet'!H66)</f>
        <v>300000</v>
      </c>
      <c r="I196" s="1780"/>
      <c r="J196" s="1780"/>
      <c r="K196" s="1780"/>
      <c r="L196" s="1784"/>
      <c r="M196" s="1780"/>
      <c r="N196" s="1765">
        <f>SUM(C196:M196)</f>
        <v>12025032</v>
      </c>
      <c r="O196" s="747"/>
      <c r="P196" s="587"/>
      <c r="Q196" s="587"/>
      <c r="R196" s="587"/>
      <c r="S196" s="587"/>
      <c r="T196" s="587"/>
    </row>
    <row r="197" spans="1:40" s="783" customFormat="1" ht="0.15" customHeight="1" x14ac:dyDescent="0.3">
      <c r="A197" s="793"/>
      <c r="B197" s="792" t="s">
        <v>355</v>
      </c>
      <c r="C197" s="1631"/>
      <c r="D197" s="1631"/>
      <c r="E197" s="1631"/>
      <c r="F197" s="1631"/>
      <c r="G197" s="1631"/>
      <c r="H197" s="1631"/>
      <c r="I197" s="1781"/>
      <c r="J197" s="1781"/>
      <c r="K197" s="1781"/>
      <c r="L197" s="1785"/>
      <c r="M197" s="1781"/>
      <c r="N197" s="1768">
        <f>SUM(C197:M197)</f>
        <v>0</v>
      </c>
      <c r="O197" s="782"/>
    </row>
    <row r="198" spans="1:40" ht="14.25" customHeight="1" x14ac:dyDescent="0.3">
      <c r="A198" s="584" t="s">
        <v>262</v>
      </c>
      <c r="B198" s="581" t="s">
        <v>111</v>
      </c>
      <c r="C198" s="1622"/>
      <c r="D198" s="1622"/>
      <c r="E198" s="1622"/>
      <c r="F198" s="1622"/>
      <c r="G198" s="1622"/>
      <c r="H198" s="1622"/>
      <c r="I198" s="1778"/>
      <c r="J198" s="1778"/>
      <c r="K198" s="1778"/>
      <c r="L198" s="1782"/>
      <c r="M198" s="1778"/>
      <c r="N198" s="1771"/>
      <c r="O198" s="747"/>
      <c r="P198" s="587"/>
      <c r="Q198" s="587"/>
      <c r="R198" s="587"/>
      <c r="S198" s="587"/>
      <c r="T198" s="587"/>
    </row>
    <row r="199" spans="1:40" s="744" customFormat="1" ht="14.25" customHeight="1" thickBot="1" x14ac:dyDescent="0.35">
      <c r="A199" s="585"/>
      <c r="B199" s="583" t="s">
        <v>356</v>
      </c>
      <c r="C199" s="1625">
        <f>SUM('6. sz.melléklet'!C69)</f>
        <v>447000</v>
      </c>
      <c r="D199" s="1625">
        <f>SUM('6. sz.melléklet'!D69)</f>
        <v>88000</v>
      </c>
      <c r="E199" s="1625"/>
      <c r="F199" s="1625"/>
      <c r="G199" s="1625"/>
      <c r="H199" s="1625"/>
      <c r="I199" s="1779"/>
      <c r="J199" s="1779"/>
      <c r="K199" s="1779"/>
      <c r="L199" s="1783"/>
      <c r="M199" s="1779"/>
      <c r="N199" s="1762">
        <f>SUM(C199:M199)</f>
        <v>535000</v>
      </c>
      <c r="O199" s="747"/>
      <c r="P199" s="587"/>
      <c r="Q199" s="587"/>
      <c r="R199" s="587"/>
      <c r="S199" s="587"/>
      <c r="T199" s="587"/>
      <c r="U199" s="587"/>
      <c r="V199" s="587"/>
      <c r="W199" s="587"/>
      <c r="X199" s="587"/>
      <c r="Y199" s="587"/>
      <c r="Z199" s="587"/>
      <c r="AA199" s="587"/>
      <c r="AB199" s="587"/>
      <c r="AC199" s="587"/>
      <c r="AD199" s="587"/>
      <c r="AE199" s="587"/>
      <c r="AF199" s="587"/>
      <c r="AG199" s="587"/>
      <c r="AH199" s="587"/>
      <c r="AI199" s="587"/>
      <c r="AJ199" s="587"/>
      <c r="AK199" s="587"/>
      <c r="AL199" s="587"/>
      <c r="AM199" s="587"/>
      <c r="AN199" s="587"/>
    </row>
    <row r="200" spans="1:40" ht="0.15" customHeight="1" thickBot="1" x14ac:dyDescent="0.35">
      <c r="A200" s="937"/>
      <c r="B200" s="938" t="s">
        <v>357</v>
      </c>
      <c r="C200" s="1628">
        <f>SUM('6. sz.melléklet'!C70)</f>
        <v>447000</v>
      </c>
      <c r="D200" s="1628">
        <f>SUM('6. sz.melléklet'!D70)</f>
        <v>88000</v>
      </c>
      <c r="E200" s="1628"/>
      <c r="F200" s="1628"/>
      <c r="G200" s="1628"/>
      <c r="H200" s="1628"/>
      <c r="I200" s="1780"/>
      <c r="J200" s="1780"/>
      <c r="K200" s="1780"/>
      <c r="L200" s="1784"/>
      <c r="M200" s="1780"/>
      <c r="N200" s="1765">
        <f>SUM(C200:M200)</f>
        <v>535000</v>
      </c>
      <c r="O200" s="747"/>
      <c r="P200" s="587"/>
      <c r="Q200" s="587"/>
      <c r="R200" s="587"/>
      <c r="S200" s="587"/>
      <c r="T200" s="587"/>
    </row>
    <row r="201" spans="1:40" s="783" customFormat="1" ht="0.15" customHeight="1" x14ac:dyDescent="0.3">
      <c r="A201" s="793"/>
      <c r="B201" s="792" t="s">
        <v>355</v>
      </c>
      <c r="C201" s="1631"/>
      <c r="D201" s="1631"/>
      <c r="E201" s="1631"/>
      <c r="F201" s="1631"/>
      <c r="G201" s="1631"/>
      <c r="H201" s="1631"/>
      <c r="I201" s="1781"/>
      <c r="J201" s="1781"/>
      <c r="K201" s="1781"/>
      <c r="L201" s="1785"/>
      <c r="M201" s="1781"/>
      <c r="N201" s="1768">
        <f>SUM(C201:M201)</f>
        <v>0</v>
      </c>
      <c r="O201" s="782"/>
    </row>
    <row r="202" spans="1:40" ht="41.4" x14ac:dyDescent="0.3">
      <c r="A202" s="584" t="s">
        <v>263</v>
      </c>
      <c r="B202" s="581" t="s">
        <v>264</v>
      </c>
      <c r="C202" s="1622"/>
      <c r="D202" s="1622"/>
      <c r="E202" s="1622"/>
      <c r="F202" s="1622"/>
      <c r="G202" s="1622"/>
      <c r="H202" s="1622"/>
      <c r="I202" s="1778"/>
      <c r="J202" s="1778"/>
      <c r="K202" s="1778"/>
      <c r="L202" s="1782"/>
      <c r="M202" s="1778"/>
      <c r="N202" s="1771"/>
      <c r="O202" s="747"/>
      <c r="P202" s="587"/>
      <c r="Q202" s="587"/>
      <c r="R202" s="587"/>
      <c r="S202" s="587"/>
      <c r="T202" s="587"/>
    </row>
    <row r="203" spans="1:40" s="744" customFormat="1" ht="14.25" customHeight="1" thickBot="1" x14ac:dyDescent="0.35">
      <c r="A203" s="585"/>
      <c r="B203" s="583" t="s">
        <v>356</v>
      </c>
      <c r="C203" s="1625">
        <f>SUM('6. sz.melléklet'!C73)</f>
        <v>480000</v>
      </c>
      <c r="D203" s="1625">
        <f>SUM('6. sz.melléklet'!D73)</f>
        <v>95000</v>
      </c>
      <c r="E203" s="1625">
        <f>SUM('6. sz.melléklet'!E73)</f>
        <v>534000</v>
      </c>
      <c r="F203" s="1625"/>
      <c r="G203" s="1625"/>
      <c r="H203" s="1625"/>
      <c r="I203" s="1779">
        <f>SUM('6. sz.melléklet'!I73)</f>
        <v>840000</v>
      </c>
      <c r="J203" s="1779"/>
      <c r="K203" s="1779"/>
      <c r="L203" s="1783"/>
      <c r="M203" s="1779"/>
      <c r="N203" s="1762">
        <f>SUM(C203:M203)</f>
        <v>1949000</v>
      </c>
      <c r="O203" s="747"/>
      <c r="P203" s="587"/>
      <c r="Q203" s="587"/>
      <c r="R203" s="587"/>
      <c r="S203" s="587"/>
      <c r="T203" s="587"/>
      <c r="U203" s="587"/>
      <c r="V203" s="587"/>
      <c r="W203" s="587"/>
      <c r="X203" s="587"/>
      <c r="Y203" s="587"/>
      <c r="Z203" s="587"/>
      <c r="AA203" s="587"/>
      <c r="AB203" s="587"/>
      <c r="AC203" s="587"/>
      <c r="AD203" s="587"/>
      <c r="AE203" s="587"/>
      <c r="AF203" s="587"/>
      <c r="AG203" s="587"/>
      <c r="AH203" s="587"/>
      <c r="AI203" s="587"/>
      <c r="AJ203" s="587"/>
      <c r="AK203" s="587"/>
      <c r="AL203" s="587"/>
      <c r="AM203" s="587"/>
      <c r="AN203" s="587"/>
    </row>
    <row r="204" spans="1:40" ht="0.15" customHeight="1" thickBot="1" x14ac:dyDescent="0.35">
      <c r="A204" s="937"/>
      <c r="B204" s="938" t="s">
        <v>357</v>
      </c>
      <c r="C204" s="1628">
        <f>SUM('6. sz.melléklet'!C74)</f>
        <v>480000</v>
      </c>
      <c r="D204" s="1628">
        <f>SUM('6. sz.melléklet'!D74)</f>
        <v>95000</v>
      </c>
      <c r="E204" s="1628">
        <f>SUM('6. sz.melléklet'!E74)</f>
        <v>534000</v>
      </c>
      <c r="F204" s="1628"/>
      <c r="G204" s="1628"/>
      <c r="H204" s="1628"/>
      <c r="I204" s="1780">
        <f>SUM('6. sz.melléklet'!I74)</f>
        <v>840</v>
      </c>
      <c r="J204" s="1780"/>
      <c r="K204" s="1780"/>
      <c r="L204" s="1784"/>
      <c r="M204" s="1780"/>
      <c r="N204" s="1765">
        <f>SUM(C204:M204)</f>
        <v>1109840</v>
      </c>
      <c r="O204" s="747"/>
      <c r="P204" s="587"/>
      <c r="Q204" s="587"/>
      <c r="R204" s="587"/>
      <c r="S204" s="587"/>
      <c r="T204" s="587"/>
    </row>
    <row r="205" spans="1:40" s="783" customFormat="1" ht="0.15" customHeight="1" x14ac:dyDescent="0.3">
      <c r="A205" s="793"/>
      <c r="B205" s="792" t="s">
        <v>355</v>
      </c>
      <c r="C205" s="1631"/>
      <c r="D205" s="1631"/>
      <c r="E205" s="1631"/>
      <c r="F205" s="1631"/>
      <c r="G205" s="1631"/>
      <c r="H205" s="1631"/>
      <c r="I205" s="1781"/>
      <c r="J205" s="1781"/>
      <c r="K205" s="1781"/>
      <c r="L205" s="1785"/>
      <c r="M205" s="1781"/>
      <c r="N205" s="1768">
        <f>SUM(C205:M205)</f>
        <v>0</v>
      </c>
      <c r="O205" s="782"/>
    </row>
    <row r="206" spans="1:40" ht="27.6" x14ac:dyDescent="0.3">
      <c r="A206" s="584" t="s">
        <v>457</v>
      </c>
      <c r="B206" s="581" t="s">
        <v>292</v>
      </c>
      <c r="C206" s="1622"/>
      <c r="D206" s="1622"/>
      <c r="E206" s="1622"/>
      <c r="F206" s="1622"/>
      <c r="G206" s="1622"/>
      <c r="H206" s="1622"/>
      <c r="I206" s="1778"/>
      <c r="J206" s="1778"/>
      <c r="K206" s="1778"/>
      <c r="L206" s="1782"/>
      <c r="M206" s="1778"/>
      <c r="N206" s="1771"/>
      <c r="O206" s="747"/>
      <c r="P206" s="587"/>
      <c r="Q206" s="587"/>
      <c r="R206" s="587"/>
      <c r="S206" s="587"/>
      <c r="T206" s="587"/>
    </row>
    <row r="207" spans="1:40" s="744" customFormat="1" ht="14.25" customHeight="1" thickBot="1" x14ac:dyDescent="0.35">
      <c r="A207" s="585"/>
      <c r="B207" s="583" t="s">
        <v>356</v>
      </c>
      <c r="C207" s="1625"/>
      <c r="D207" s="1625"/>
      <c r="E207" s="1625"/>
      <c r="F207" s="1625"/>
      <c r="G207" s="1625"/>
      <c r="H207" s="1625"/>
      <c r="I207" s="1779">
        <f>SUM('6. sz.melléklet'!I77)</f>
        <v>1300000</v>
      </c>
      <c r="J207" s="1779"/>
      <c r="K207" s="1779"/>
      <c r="L207" s="1783"/>
      <c r="M207" s="1779"/>
      <c r="N207" s="1762">
        <f>SUM(C207:M207)</f>
        <v>1300000</v>
      </c>
      <c r="O207" s="747"/>
      <c r="P207" s="587"/>
      <c r="Q207" s="587"/>
      <c r="R207" s="587"/>
      <c r="S207" s="587"/>
      <c r="T207" s="587"/>
      <c r="U207" s="587"/>
      <c r="V207" s="587"/>
      <c r="W207" s="587"/>
      <c r="X207" s="587"/>
      <c r="Y207" s="587"/>
      <c r="Z207" s="587"/>
      <c r="AA207" s="587"/>
      <c r="AB207" s="587"/>
      <c r="AC207" s="587"/>
      <c r="AD207" s="587"/>
      <c r="AE207" s="587"/>
      <c r="AF207" s="587"/>
      <c r="AG207" s="587"/>
      <c r="AH207" s="587"/>
      <c r="AI207" s="587"/>
      <c r="AJ207" s="587"/>
      <c r="AK207" s="587"/>
      <c r="AL207" s="587"/>
      <c r="AM207" s="587"/>
      <c r="AN207" s="587"/>
    </row>
    <row r="208" spans="1:40" ht="0.15" customHeight="1" thickBot="1" x14ac:dyDescent="0.35">
      <c r="A208" s="937"/>
      <c r="B208" s="938" t="s">
        <v>357</v>
      </c>
      <c r="C208" s="1628"/>
      <c r="D208" s="1628"/>
      <c r="E208" s="1628"/>
      <c r="F208" s="1628"/>
      <c r="G208" s="1628"/>
      <c r="H208" s="1628"/>
      <c r="I208" s="1780">
        <f>SUM('6. sz.melléklet'!I78)</f>
        <v>1300000</v>
      </c>
      <c r="J208" s="1780"/>
      <c r="K208" s="1780"/>
      <c r="L208" s="1784"/>
      <c r="M208" s="1780"/>
      <c r="N208" s="1765">
        <f>SUM(C208:M208)</f>
        <v>1300000</v>
      </c>
      <c r="O208" s="747"/>
      <c r="P208" s="587"/>
      <c r="Q208" s="587"/>
      <c r="R208" s="587"/>
      <c r="S208" s="587"/>
      <c r="T208" s="587"/>
    </row>
    <row r="209" spans="1:40" ht="0.15" customHeight="1" x14ac:dyDescent="0.3">
      <c r="A209" s="935"/>
      <c r="B209" s="936"/>
      <c r="C209" s="1734"/>
      <c r="D209" s="1734"/>
      <c r="E209" s="1734"/>
      <c r="F209" s="1734"/>
      <c r="G209" s="1734"/>
      <c r="H209" s="1734"/>
      <c r="I209" s="1790"/>
      <c r="J209" s="1790"/>
      <c r="K209" s="1790"/>
      <c r="L209" s="1791"/>
      <c r="M209" s="1790"/>
      <c r="N209" s="1792"/>
      <c r="O209" s="747"/>
      <c r="P209" s="587"/>
      <c r="Q209" s="587"/>
      <c r="R209" s="587"/>
      <c r="S209" s="587"/>
      <c r="T209" s="587"/>
    </row>
    <row r="210" spans="1:40" ht="24" customHeight="1" x14ac:dyDescent="0.3">
      <c r="A210" s="1076" t="s">
        <v>477</v>
      </c>
      <c r="B210" s="1077" t="s">
        <v>478</v>
      </c>
      <c r="C210" s="1793"/>
      <c r="D210" s="1793"/>
      <c r="E210" s="1793"/>
      <c r="F210" s="1793"/>
      <c r="G210" s="1793"/>
      <c r="H210" s="1622"/>
      <c r="I210" s="1778"/>
      <c r="J210" s="1778"/>
      <c r="K210" s="1778"/>
      <c r="L210" s="1778"/>
      <c r="M210" s="1778"/>
      <c r="N210" s="1771"/>
      <c r="O210" s="747"/>
      <c r="P210" s="587"/>
      <c r="Q210" s="587"/>
      <c r="R210" s="587"/>
      <c r="S210" s="587"/>
      <c r="T210" s="587"/>
    </row>
    <row r="211" spans="1:40" ht="14.25" customHeight="1" thickBot="1" x14ac:dyDescent="0.35">
      <c r="A211" s="1079"/>
      <c r="B211" s="1247" t="s">
        <v>356</v>
      </c>
      <c r="C211" s="1794"/>
      <c r="D211" s="1794"/>
      <c r="E211" s="1675">
        <f>SUM('15.sz.melléklet'!E11)</f>
        <v>454000</v>
      </c>
      <c r="F211" s="1794"/>
      <c r="G211" s="1794"/>
      <c r="H211" s="1625">
        <f>SUM('15.sz.melléklet'!F11)</f>
        <v>1680000</v>
      </c>
      <c r="I211" s="1779"/>
      <c r="J211" s="1779"/>
      <c r="K211" s="1779"/>
      <c r="L211" s="1779"/>
      <c r="M211" s="1779"/>
      <c r="N211" s="1762">
        <f>SUM(C211:M211)</f>
        <v>2134000</v>
      </c>
      <c r="O211" s="747"/>
      <c r="P211" s="587"/>
      <c r="Q211" s="587"/>
      <c r="R211" s="587"/>
      <c r="S211" s="587"/>
      <c r="T211" s="587"/>
    </row>
    <row r="212" spans="1:40" ht="0.15" customHeight="1" thickBot="1" x14ac:dyDescent="0.35">
      <c r="A212" s="1246"/>
      <c r="B212" s="938" t="s">
        <v>357</v>
      </c>
      <c r="C212" s="1795"/>
      <c r="D212" s="1795"/>
      <c r="E212" s="1795"/>
      <c r="F212" s="1795"/>
      <c r="G212" s="1795"/>
      <c r="H212" s="1628">
        <f>SUM('15.sz.melléklet'!F12)</f>
        <v>2113</v>
      </c>
      <c r="I212" s="1780"/>
      <c r="J212" s="1780"/>
      <c r="K212" s="1780"/>
      <c r="L212" s="1780"/>
      <c r="M212" s="1780"/>
      <c r="N212" s="1765">
        <f>SUM(C212:M212)</f>
        <v>2113</v>
      </c>
      <c r="O212" s="747"/>
      <c r="P212" s="587"/>
      <c r="Q212" s="587"/>
      <c r="R212" s="587"/>
      <c r="S212" s="587"/>
      <c r="T212" s="587"/>
    </row>
    <row r="213" spans="1:40" ht="0.15" customHeight="1" x14ac:dyDescent="0.3">
      <c r="A213" s="935"/>
      <c r="B213" s="936"/>
      <c r="C213" s="1734"/>
      <c r="D213" s="1734"/>
      <c r="E213" s="1734"/>
      <c r="F213" s="1734"/>
      <c r="G213" s="1734"/>
      <c r="H213" s="1734"/>
      <c r="I213" s="1790"/>
      <c r="J213" s="1790"/>
      <c r="K213" s="1790"/>
      <c r="L213" s="1791"/>
      <c r="M213" s="1790"/>
      <c r="N213" s="1796"/>
      <c r="O213" s="747"/>
      <c r="P213" s="587"/>
      <c r="Q213" s="587"/>
      <c r="R213" s="587"/>
      <c r="S213" s="587"/>
      <c r="T213" s="587"/>
    </row>
    <row r="214" spans="1:40" s="783" customFormat="1" ht="1.5" customHeight="1" x14ac:dyDescent="0.3">
      <c r="A214" s="793"/>
      <c r="B214" s="792" t="s">
        <v>355</v>
      </c>
      <c r="C214" s="1631"/>
      <c r="D214" s="1631"/>
      <c r="E214" s="1631"/>
      <c r="F214" s="1631"/>
      <c r="G214" s="1631"/>
      <c r="H214" s="1631"/>
      <c r="I214" s="1781"/>
      <c r="J214" s="1781"/>
      <c r="K214" s="1781"/>
      <c r="L214" s="1785"/>
      <c r="M214" s="1781"/>
      <c r="N214" s="1768">
        <f>SUM(C214:M214)</f>
        <v>0</v>
      </c>
      <c r="O214" s="782"/>
    </row>
    <row r="215" spans="1:40" ht="14.25" customHeight="1" x14ac:dyDescent="0.3">
      <c r="A215" s="584" t="s">
        <v>239</v>
      </c>
      <c r="B215" s="581" t="s">
        <v>3</v>
      </c>
      <c r="C215" s="1622"/>
      <c r="D215" s="1622"/>
      <c r="E215" s="1622"/>
      <c r="F215" s="1622"/>
      <c r="G215" s="1622"/>
      <c r="H215" s="1622"/>
      <c r="I215" s="1778"/>
      <c r="J215" s="1778"/>
      <c r="K215" s="1778"/>
      <c r="L215" s="1782"/>
      <c r="M215" s="1778"/>
      <c r="N215" s="1771"/>
      <c r="O215" s="747"/>
      <c r="P215" s="587"/>
      <c r="Q215" s="587"/>
      <c r="R215" s="587"/>
      <c r="S215" s="587"/>
      <c r="T215" s="587"/>
    </row>
    <row r="216" spans="1:40" s="744" customFormat="1" ht="14.25" customHeight="1" thickBot="1" x14ac:dyDescent="0.35">
      <c r="A216" s="585"/>
      <c r="B216" s="583" t="s">
        <v>356</v>
      </c>
      <c r="C216" s="1625">
        <f>SUM('15.sz.melléklet'!C15)</f>
        <v>8799000</v>
      </c>
      <c r="D216" s="1625">
        <f>SUM('15.sz.melléklet'!D15)</f>
        <v>1916000</v>
      </c>
      <c r="E216" s="1625">
        <f>SUM('15.sz.melléklet'!E15)</f>
        <v>627000</v>
      </c>
      <c r="F216" s="1625"/>
      <c r="G216" s="1625"/>
      <c r="H216" s="1625">
        <f>SUM('15.sz.melléklet'!F15)</f>
        <v>0</v>
      </c>
      <c r="I216" s="1779"/>
      <c r="J216" s="1779"/>
      <c r="K216" s="1779"/>
      <c r="L216" s="1783"/>
      <c r="M216" s="1779"/>
      <c r="N216" s="1762">
        <f>SUM(C216:M216)</f>
        <v>11342000</v>
      </c>
      <c r="O216" s="747"/>
      <c r="P216" s="587"/>
      <c r="Q216" s="587"/>
      <c r="R216" s="587"/>
      <c r="S216" s="587"/>
      <c r="T216" s="587"/>
      <c r="U216" s="587"/>
      <c r="V216" s="587"/>
      <c r="W216" s="587"/>
      <c r="X216" s="587"/>
      <c r="Y216" s="587"/>
      <c r="Z216" s="587"/>
      <c r="AA216" s="587"/>
      <c r="AB216" s="587"/>
      <c r="AC216" s="587"/>
      <c r="AD216" s="587"/>
      <c r="AE216" s="587"/>
      <c r="AF216" s="587"/>
      <c r="AG216" s="587"/>
      <c r="AH216" s="587"/>
      <c r="AI216" s="587"/>
      <c r="AJ216" s="587"/>
      <c r="AK216" s="587"/>
      <c r="AL216" s="587"/>
      <c r="AM216" s="587"/>
      <c r="AN216" s="587"/>
    </row>
    <row r="217" spans="1:40" ht="0.15" customHeight="1" thickBot="1" x14ac:dyDescent="0.35">
      <c r="A217" s="937"/>
      <c r="B217" s="938" t="s">
        <v>357</v>
      </c>
      <c r="C217" s="1628">
        <f>SUM('15.sz.melléklet'!C16)</f>
        <v>8799000</v>
      </c>
      <c r="D217" s="1628">
        <f>SUM('15.sz.melléklet'!D16)</f>
        <v>1916000</v>
      </c>
      <c r="E217" s="1628">
        <f>SUM('15.sz.melléklet'!E16)</f>
        <v>627000</v>
      </c>
      <c r="F217" s="1628"/>
      <c r="G217" s="1628"/>
      <c r="H217" s="1628">
        <f>SUM('15.sz.melléklet'!F16)</f>
        <v>-1680</v>
      </c>
      <c r="I217" s="1780"/>
      <c r="J217" s="1780"/>
      <c r="K217" s="1780"/>
      <c r="L217" s="1784"/>
      <c r="M217" s="1780"/>
      <c r="N217" s="1765">
        <f>SUM(C217:M217)</f>
        <v>11340320</v>
      </c>
      <c r="O217" s="747"/>
      <c r="P217" s="587"/>
      <c r="Q217" s="587"/>
      <c r="R217" s="587"/>
      <c r="S217" s="587"/>
      <c r="T217" s="587"/>
    </row>
    <row r="218" spans="1:40" s="783" customFormat="1" ht="0.15" customHeight="1" x14ac:dyDescent="0.3">
      <c r="A218" s="793"/>
      <c r="B218" s="792" t="s">
        <v>355</v>
      </c>
      <c r="C218" s="1631"/>
      <c r="D218" s="1631"/>
      <c r="E218" s="1631"/>
      <c r="F218" s="1631"/>
      <c r="G218" s="1631"/>
      <c r="H218" s="1631"/>
      <c r="I218" s="1781"/>
      <c r="J218" s="1781"/>
      <c r="K218" s="1781"/>
      <c r="L218" s="1785"/>
      <c r="M218" s="1781"/>
      <c r="N218" s="1768">
        <f>SUM(C218:M218)</f>
        <v>0</v>
      </c>
      <c r="O218" s="782"/>
    </row>
    <row r="219" spans="1:40" ht="27.6" x14ac:dyDescent="0.3">
      <c r="A219" s="584" t="s">
        <v>240</v>
      </c>
      <c r="B219" s="581" t="s">
        <v>98</v>
      </c>
      <c r="C219" s="1622"/>
      <c r="D219" s="1622"/>
      <c r="E219" s="1622"/>
      <c r="F219" s="1622"/>
      <c r="G219" s="1622"/>
      <c r="H219" s="1622"/>
      <c r="I219" s="1778"/>
      <c r="J219" s="1778"/>
      <c r="K219" s="1778"/>
      <c r="L219" s="1782"/>
      <c r="M219" s="1778"/>
      <c r="N219" s="1771"/>
      <c r="O219" s="747"/>
      <c r="P219" s="587"/>
      <c r="Q219" s="587"/>
      <c r="R219" s="587"/>
      <c r="S219" s="587"/>
      <c r="T219" s="587"/>
    </row>
    <row r="220" spans="1:40" s="744" customFormat="1" ht="14.25" customHeight="1" thickBot="1" x14ac:dyDescent="0.35">
      <c r="A220" s="585"/>
      <c r="B220" s="583" t="s">
        <v>356</v>
      </c>
      <c r="C220" s="1625">
        <f>SUM('15.sz.melléklet'!C7)</f>
        <v>19338000</v>
      </c>
      <c r="D220" s="1625">
        <f>SUM('15.sz.melléklet'!D7)</f>
        <v>5304000</v>
      </c>
      <c r="E220" s="1625">
        <f>SUM('15.sz.melléklet'!E7)</f>
        <v>26779000</v>
      </c>
      <c r="F220" s="1625"/>
      <c r="G220" s="1625"/>
      <c r="H220" s="1625">
        <f>SUM('15.sz.melléklet'!F7)</f>
        <v>2110000</v>
      </c>
      <c r="I220" s="1779"/>
      <c r="J220" s="1779"/>
      <c r="K220" s="1779"/>
      <c r="L220" s="1783"/>
      <c r="M220" s="1779"/>
      <c r="N220" s="1762">
        <f>SUM(C220:M220)</f>
        <v>53531000</v>
      </c>
      <c r="O220" s="747"/>
      <c r="P220" s="587"/>
      <c r="Q220" s="587"/>
      <c r="R220" s="587"/>
      <c r="S220" s="587"/>
      <c r="T220" s="587"/>
      <c r="U220" s="587"/>
      <c r="V220" s="587"/>
      <c r="W220" s="587"/>
      <c r="X220" s="587"/>
      <c r="Y220" s="587"/>
      <c r="Z220" s="587"/>
      <c r="AA220" s="587"/>
      <c r="AB220" s="587"/>
      <c r="AC220" s="587"/>
      <c r="AD220" s="587"/>
      <c r="AE220" s="587"/>
      <c r="AF220" s="587"/>
      <c r="AG220" s="587"/>
      <c r="AH220" s="587"/>
      <c r="AI220" s="587"/>
      <c r="AJ220" s="587"/>
      <c r="AK220" s="587"/>
      <c r="AL220" s="587"/>
      <c r="AM220" s="587"/>
      <c r="AN220" s="587"/>
    </row>
    <row r="221" spans="1:40" ht="0.15" customHeight="1" thickBot="1" x14ac:dyDescent="0.35">
      <c r="A221" s="937"/>
      <c r="B221" s="938" t="s">
        <v>357</v>
      </c>
      <c r="C221" s="1628">
        <f>SUM('15.sz.melléklet'!C8)</f>
        <v>19338021</v>
      </c>
      <c r="D221" s="1628">
        <f>SUM('15.sz.melléklet'!D8)</f>
        <v>5304005</v>
      </c>
      <c r="E221" s="1628">
        <f>SUM('15.sz.melléklet'!E8)</f>
        <v>26779000</v>
      </c>
      <c r="F221" s="1628"/>
      <c r="G221" s="1628"/>
      <c r="H221" s="1628">
        <f>SUM('15.sz.melléklet'!F8)</f>
        <v>2110000</v>
      </c>
      <c r="I221" s="1780"/>
      <c r="J221" s="1780"/>
      <c r="K221" s="1780"/>
      <c r="L221" s="1784"/>
      <c r="M221" s="1780"/>
      <c r="N221" s="1765">
        <f>SUM(C221:M221)</f>
        <v>53531026</v>
      </c>
      <c r="O221" s="747"/>
      <c r="P221" s="587"/>
      <c r="Q221" s="587"/>
      <c r="R221" s="587"/>
      <c r="S221" s="587"/>
      <c r="T221" s="587"/>
    </row>
    <row r="222" spans="1:40" s="783" customFormat="1" ht="0.15" customHeight="1" x14ac:dyDescent="0.3">
      <c r="A222" s="793"/>
      <c r="B222" s="792" t="s">
        <v>355</v>
      </c>
      <c r="C222" s="1631"/>
      <c r="D222" s="1631"/>
      <c r="E222" s="1631"/>
      <c r="F222" s="1631"/>
      <c r="G222" s="1631"/>
      <c r="H222" s="1631"/>
      <c r="I222" s="1781"/>
      <c r="J222" s="1781"/>
      <c r="K222" s="1781"/>
      <c r="L222" s="1785"/>
      <c r="M222" s="1781"/>
      <c r="N222" s="1768">
        <f>SUM(C222:M222)</f>
        <v>0</v>
      </c>
      <c r="O222" s="782"/>
    </row>
    <row r="223" spans="1:40" ht="14.25" customHeight="1" x14ac:dyDescent="0.3">
      <c r="A223" s="584" t="s">
        <v>265</v>
      </c>
      <c r="B223" s="581" t="s">
        <v>266</v>
      </c>
      <c r="C223" s="1622"/>
      <c r="D223" s="1622"/>
      <c r="E223" s="1622"/>
      <c r="F223" s="1622"/>
      <c r="G223" s="1622"/>
      <c r="H223" s="1622"/>
      <c r="I223" s="1778"/>
      <c r="J223" s="1778"/>
      <c r="K223" s="1778"/>
      <c r="L223" s="1782"/>
      <c r="M223" s="1778"/>
      <c r="N223" s="1771"/>
      <c r="O223" s="747"/>
      <c r="P223" s="587"/>
      <c r="Q223" s="587"/>
      <c r="R223" s="587"/>
      <c r="S223" s="587"/>
      <c r="T223" s="587"/>
    </row>
    <row r="224" spans="1:40" s="744" customFormat="1" ht="14.25" customHeight="1" thickBot="1" x14ac:dyDescent="0.35">
      <c r="A224" s="585"/>
      <c r="B224" s="583" t="s">
        <v>356</v>
      </c>
      <c r="C224" s="1625"/>
      <c r="D224" s="1625"/>
      <c r="E224" s="1625">
        <f>SUM('6. sz.melléklet'!E81)</f>
        <v>4064000</v>
      </c>
      <c r="F224" s="1625"/>
      <c r="G224" s="1625"/>
      <c r="H224" s="1625"/>
      <c r="I224" s="1779"/>
      <c r="J224" s="1779"/>
      <c r="K224" s="1779"/>
      <c r="L224" s="1783"/>
      <c r="M224" s="1779"/>
      <c r="N224" s="1762">
        <f>SUM(C224:M224)</f>
        <v>4064000</v>
      </c>
      <c r="O224" s="747"/>
      <c r="P224" s="587"/>
      <c r="Q224" s="587"/>
      <c r="R224" s="587"/>
      <c r="S224" s="587"/>
      <c r="T224" s="587"/>
      <c r="U224" s="587"/>
      <c r="V224" s="587"/>
      <c r="W224" s="587"/>
      <c r="X224" s="587"/>
      <c r="Y224" s="587"/>
      <c r="Z224" s="587"/>
      <c r="AA224" s="587"/>
      <c r="AB224" s="587"/>
      <c r="AC224" s="587"/>
      <c r="AD224" s="587"/>
      <c r="AE224" s="587"/>
      <c r="AF224" s="587"/>
      <c r="AG224" s="587"/>
      <c r="AH224" s="587"/>
      <c r="AI224" s="587"/>
      <c r="AJ224" s="587"/>
      <c r="AK224" s="587"/>
      <c r="AL224" s="587"/>
      <c r="AM224" s="587"/>
      <c r="AN224" s="587"/>
    </row>
    <row r="225" spans="1:40" ht="0.15" customHeight="1" thickBot="1" x14ac:dyDescent="0.35">
      <c r="A225" s="937"/>
      <c r="B225" s="938" t="s">
        <v>357</v>
      </c>
      <c r="C225" s="1628"/>
      <c r="D225" s="1628"/>
      <c r="E225" s="1628">
        <f>SUM('6. sz.melléklet'!E82)</f>
        <v>4064000</v>
      </c>
      <c r="F225" s="1628"/>
      <c r="G225" s="1628"/>
      <c r="H225" s="1628"/>
      <c r="I225" s="1780"/>
      <c r="J225" s="1780"/>
      <c r="K225" s="1780"/>
      <c r="L225" s="1784"/>
      <c r="M225" s="1780"/>
      <c r="N225" s="1765">
        <f>SUM(C225:M225)</f>
        <v>4064000</v>
      </c>
      <c r="O225" s="747"/>
      <c r="P225" s="587"/>
      <c r="Q225" s="587"/>
      <c r="R225" s="587"/>
      <c r="S225" s="587"/>
      <c r="T225" s="587"/>
    </row>
    <row r="226" spans="1:40" s="783" customFormat="1" ht="0.15" customHeight="1" x14ac:dyDescent="0.3">
      <c r="A226" s="793"/>
      <c r="B226" s="792" t="s">
        <v>355</v>
      </c>
      <c r="C226" s="1631"/>
      <c r="D226" s="1631"/>
      <c r="E226" s="1631"/>
      <c r="F226" s="1631"/>
      <c r="G226" s="1631"/>
      <c r="H226" s="1631"/>
      <c r="I226" s="1781"/>
      <c r="J226" s="1781"/>
      <c r="K226" s="1781"/>
      <c r="L226" s="1785"/>
      <c r="M226" s="1781"/>
      <c r="N226" s="1768">
        <f>SUM(C226:M226)</f>
        <v>0</v>
      </c>
      <c r="O226" s="782"/>
    </row>
    <row r="227" spans="1:40" ht="27.6" x14ac:dyDescent="0.3">
      <c r="A227" s="584" t="s">
        <v>279</v>
      </c>
      <c r="B227" s="581" t="s">
        <v>135</v>
      </c>
      <c r="C227" s="1622"/>
      <c r="D227" s="1622"/>
      <c r="E227" s="1622"/>
      <c r="F227" s="1622"/>
      <c r="G227" s="1622"/>
      <c r="H227" s="1622"/>
      <c r="I227" s="1778"/>
      <c r="J227" s="1778"/>
      <c r="K227" s="1778"/>
      <c r="L227" s="1782"/>
      <c r="M227" s="1778"/>
      <c r="N227" s="1771"/>
      <c r="O227" s="747"/>
      <c r="P227" s="587"/>
      <c r="Q227" s="587"/>
      <c r="R227" s="587"/>
      <c r="S227" s="587"/>
      <c r="T227" s="587"/>
    </row>
    <row r="228" spans="1:40" s="744" customFormat="1" ht="14.25" customHeight="1" thickBot="1" x14ac:dyDescent="0.35">
      <c r="A228" s="585"/>
      <c r="B228" s="583" t="s">
        <v>356</v>
      </c>
      <c r="C228" s="1625"/>
      <c r="D228" s="1625"/>
      <c r="E228" s="1625"/>
      <c r="F228" s="1625"/>
      <c r="G228" s="1625"/>
      <c r="H228" s="1625"/>
      <c r="I228" s="1779">
        <f>SUM('6. sz.melléklet'!I85)</f>
        <v>60203000</v>
      </c>
      <c r="J228" s="1779"/>
      <c r="K228" s="1779"/>
      <c r="L228" s="1783"/>
      <c r="M228" s="1779"/>
      <c r="N228" s="1762">
        <f>SUM(C228:M228)</f>
        <v>60203000</v>
      </c>
      <c r="O228" s="747"/>
      <c r="P228" s="587"/>
      <c r="Q228" s="587"/>
      <c r="R228" s="587"/>
      <c r="S228" s="587"/>
      <c r="T228" s="587"/>
      <c r="U228" s="587"/>
      <c r="V228" s="587"/>
      <c r="W228" s="587"/>
      <c r="X228" s="587"/>
      <c r="Y228" s="587"/>
      <c r="Z228" s="587"/>
      <c r="AA228" s="587"/>
      <c r="AB228" s="587"/>
      <c r="AC228" s="587"/>
      <c r="AD228" s="587"/>
      <c r="AE228" s="587"/>
      <c r="AF228" s="587"/>
      <c r="AG228" s="587"/>
      <c r="AH228" s="587"/>
      <c r="AI228" s="587"/>
      <c r="AJ228" s="587"/>
      <c r="AK228" s="587"/>
      <c r="AL228" s="587"/>
      <c r="AM228" s="587"/>
      <c r="AN228" s="587"/>
    </row>
    <row r="229" spans="1:40" ht="0.15" customHeight="1" thickBot="1" x14ac:dyDescent="0.35">
      <c r="A229" s="937"/>
      <c r="B229" s="938" t="s">
        <v>357</v>
      </c>
      <c r="C229" s="1628"/>
      <c r="D229" s="1628"/>
      <c r="E229" s="1628"/>
      <c r="F229" s="1628"/>
      <c r="G229" s="1628"/>
      <c r="H229" s="1628"/>
      <c r="I229" s="1780">
        <f>SUM('6. sz.melléklet'!I86)</f>
        <v>60203800</v>
      </c>
      <c r="J229" s="1780"/>
      <c r="K229" s="1780"/>
      <c r="L229" s="1784"/>
      <c r="M229" s="1780"/>
      <c r="N229" s="1765">
        <f>SUM(C229:M229)</f>
        <v>60203800</v>
      </c>
      <c r="O229" s="747"/>
      <c r="P229" s="587"/>
      <c r="Q229" s="587"/>
      <c r="R229" s="587"/>
      <c r="S229" s="587"/>
      <c r="T229" s="587"/>
    </row>
    <row r="230" spans="1:40" s="783" customFormat="1" ht="0.15" customHeight="1" x14ac:dyDescent="0.3">
      <c r="A230" s="793"/>
      <c r="B230" s="792" t="s">
        <v>355</v>
      </c>
      <c r="C230" s="1631"/>
      <c r="D230" s="1631"/>
      <c r="E230" s="1631"/>
      <c r="F230" s="1631"/>
      <c r="G230" s="1631"/>
      <c r="H230" s="1631"/>
      <c r="I230" s="1781"/>
      <c r="J230" s="1781"/>
      <c r="K230" s="1781"/>
      <c r="L230" s="1785"/>
      <c r="M230" s="1781"/>
      <c r="N230" s="1768">
        <f>SUM(C230:M230)</f>
        <v>0</v>
      </c>
      <c r="O230" s="782"/>
    </row>
    <row r="231" spans="1:40" ht="27.6" x14ac:dyDescent="0.3">
      <c r="A231" s="584" t="s">
        <v>280</v>
      </c>
      <c r="B231" s="581" t="s">
        <v>281</v>
      </c>
      <c r="C231" s="1622"/>
      <c r="D231" s="1622"/>
      <c r="E231" s="1622"/>
      <c r="F231" s="1622"/>
      <c r="G231" s="1622"/>
      <c r="H231" s="1622"/>
      <c r="I231" s="1778"/>
      <c r="J231" s="1778"/>
      <c r="K231" s="1778"/>
      <c r="L231" s="1782"/>
      <c r="M231" s="1778"/>
      <c r="N231" s="1771"/>
      <c r="O231" s="747"/>
      <c r="P231" s="587"/>
      <c r="Q231" s="587"/>
      <c r="R231" s="587"/>
      <c r="S231" s="587"/>
      <c r="T231" s="587"/>
    </row>
    <row r="232" spans="1:40" s="744" customFormat="1" ht="14.25" customHeight="1" thickBot="1" x14ac:dyDescent="0.35">
      <c r="A232" s="585"/>
      <c r="B232" s="583" t="s">
        <v>356</v>
      </c>
      <c r="C232" s="1625"/>
      <c r="D232" s="1625"/>
      <c r="E232" s="1625"/>
      <c r="F232" s="1625"/>
      <c r="G232" s="1625"/>
      <c r="H232" s="1625"/>
      <c r="I232" s="1779"/>
      <c r="J232" s="1779">
        <f>SUM('6. sz.melléklet'!J89)</f>
        <v>6127431</v>
      </c>
      <c r="K232" s="1779"/>
      <c r="L232" s="1783"/>
      <c r="M232" s="1779"/>
      <c r="N232" s="1762">
        <f>SUM(C232:M232)</f>
        <v>6127431</v>
      </c>
      <c r="O232" s="747"/>
      <c r="P232" s="587"/>
      <c r="Q232" s="587"/>
      <c r="R232" s="587"/>
      <c r="S232" s="587"/>
      <c r="T232" s="587"/>
      <c r="U232" s="587"/>
      <c r="V232" s="587"/>
      <c r="W232" s="587"/>
      <c r="X232" s="587"/>
      <c r="Y232" s="587"/>
      <c r="Z232" s="587"/>
      <c r="AA232" s="587"/>
      <c r="AB232" s="587"/>
      <c r="AC232" s="587"/>
      <c r="AD232" s="587"/>
      <c r="AE232" s="587"/>
      <c r="AF232" s="587"/>
      <c r="AG232" s="587"/>
      <c r="AH232" s="587"/>
      <c r="AI232" s="587"/>
      <c r="AJ232" s="587"/>
      <c r="AK232" s="587"/>
      <c r="AL232" s="587"/>
      <c r="AM232" s="587"/>
      <c r="AN232" s="587"/>
    </row>
    <row r="233" spans="1:40" ht="0.15" customHeight="1" thickBot="1" x14ac:dyDescent="0.35">
      <c r="A233" s="937"/>
      <c r="B233" s="938" t="s">
        <v>357</v>
      </c>
      <c r="C233" s="1628"/>
      <c r="D233" s="1628"/>
      <c r="E233" s="1628"/>
      <c r="F233" s="1628"/>
      <c r="G233" s="1628"/>
      <c r="H233" s="1628"/>
      <c r="I233" s="1780"/>
      <c r="J233" s="1780">
        <f>SUM('6. sz.melléklet'!J90)</f>
        <v>6127431</v>
      </c>
      <c r="K233" s="1780"/>
      <c r="L233" s="1784"/>
      <c r="M233" s="1780"/>
      <c r="N233" s="1765">
        <f>SUM(C233:M233)</f>
        <v>6127431</v>
      </c>
      <c r="O233" s="747"/>
      <c r="P233" s="587"/>
      <c r="Q233" s="587"/>
      <c r="R233" s="587"/>
      <c r="S233" s="587"/>
      <c r="T233" s="587"/>
    </row>
    <row r="234" spans="1:40" s="783" customFormat="1" ht="0.15" customHeight="1" x14ac:dyDescent="0.3">
      <c r="A234" s="793"/>
      <c r="B234" s="792" t="s">
        <v>355</v>
      </c>
      <c r="C234" s="1631"/>
      <c r="D234" s="1631"/>
      <c r="E234" s="1631"/>
      <c r="F234" s="1631"/>
      <c r="G234" s="1631"/>
      <c r="H234" s="1631"/>
      <c r="I234" s="1781"/>
      <c r="J234" s="1781"/>
      <c r="K234" s="1781"/>
      <c r="L234" s="1785"/>
      <c r="M234" s="1781"/>
      <c r="N234" s="1768">
        <f>SUM(C234:M234)</f>
        <v>0</v>
      </c>
      <c r="O234" s="782"/>
    </row>
    <row r="235" spans="1:40" ht="27.6" x14ac:dyDescent="0.3">
      <c r="A235" s="584" t="s">
        <v>232</v>
      </c>
      <c r="B235" s="581" t="s">
        <v>233</v>
      </c>
      <c r="C235" s="1622"/>
      <c r="D235" s="1622"/>
      <c r="E235" s="1622"/>
      <c r="F235" s="1622"/>
      <c r="G235" s="1622"/>
      <c r="H235" s="1622"/>
      <c r="I235" s="1778"/>
      <c r="J235" s="1778"/>
      <c r="K235" s="1778"/>
      <c r="L235" s="1782"/>
      <c r="M235" s="1778"/>
      <c r="N235" s="1771"/>
      <c r="O235" s="747"/>
      <c r="P235" s="587"/>
      <c r="Q235" s="587"/>
      <c r="R235" s="587"/>
      <c r="S235" s="587"/>
      <c r="T235" s="587"/>
    </row>
    <row r="236" spans="1:40" s="744" customFormat="1" ht="14.25" customHeight="1" thickBot="1" x14ac:dyDescent="0.35">
      <c r="A236" s="585"/>
      <c r="B236" s="583" t="s">
        <v>356</v>
      </c>
      <c r="C236" s="1625">
        <f>SUM('14.sz.melléklet'!C7)</f>
        <v>114964000</v>
      </c>
      <c r="D236" s="1625">
        <f>SUM('14.sz.melléklet'!D7)</f>
        <v>23919000</v>
      </c>
      <c r="E236" s="1625">
        <f>SUM('14.sz.melléklet'!E7)</f>
        <v>2425000</v>
      </c>
      <c r="F236" s="1625"/>
      <c r="G236" s="1625"/>
      <c r="H236" s="1625">
        <f>SUM('14.sz.melléklet'!F7)</f>
        <v>2090000</v>
      </c>
      <c r="I236" s="1779"/>
      <c r="J236" s="1779"/>
      <c r="K236" s="1779"/>
      <c r="L236" s="1783"/>
      <c r="M236" s="1779"/>
      <c r="N236" s="1762">
        <f>SUM(C236:M236)</f>
        <v>143398000</v>
      </c>
      <c r="O236" s="747"/>
      <c r="P236" s="587"/>
      <c r="Q236" s="587"/>
      <c r="R236" s="587"/>
      <c r="S236" s="587"/>
      <c r="T236" s="587"/>
      <c r="U236" s="587"/>
      <c r="V236" s="587"/>
      <c r="W236" s="587"/>
      <c r="X236" s="587"/>
      <c r="Y236" s="587"/>
      <c r="Z236" s="587"/>
      <c r="AA236" s="587"/>
      <c r="AB236" s="587"/>
      <c r="AC236" s="587"/>
      <c r="AD236" s="587"/>
      <c r="AE236" s="587"/>
      <c r="AF236" s="587"/>
      <c r="AG236" s="587"/>
      <c r="AH236" s="587"/>
      <c r="AI236" s="587"/>
      <c r="AJ236" s="587"/>
      <c r="AK236" s="587"/>
      <c r="AL236" s="587"/>
      <c r="AM236" s="587"/>
      <c r="AN236" s="587"/>
    </row>
    <row r="237" spans="1:40" ht="0.15" customHeight="1" thickBot="1" x14ac:dyDescent="0.35">
      <c r="A237" s="937"/>
      <c r="B237" s="938" t="s">
        <v>357</v>
      </c>
      <c r="C237" s="1628">
        <f>SUM('14.sz.melléklet'!C8)</f>
        <v>114964138</v>
      </c>
      <c r="D237" s="1628">
        <f>SUM('14.sz.melléklet'!D8)</f>
        <v>23919037</v>
      </c>
      <c r="E237" s="1628">
        <f>SUM('14.sz.melléklet'!E8)</f>
        <v>2425000</v>
      </c>
      <c r="F237" s="1628"/>
      <c r="G237" s="1628"/>
      <c r="H237" s="1628">
        <f>SUM('14.sz.melléklet'!F8)</f>
        <v>2090000</v>
      </c>
      <c r="I237" s="1780"/>
      <c r="J237" s="1780"/>
      <c r="K237" s="1780"/>
      <c r="L237" s="1784"/>
      <c r="M237" s="1780"/>
      <c r="N237" s="1765">
        <f>SUM(C237:M237)</f>
        <v>143398175</v>
      </c>
      <c r="O237" s="747"/>
      <c r="P237" s="587"/>
      <c r="Q237" s="587"/>
      <c r="R237" s="587"/>
      <c r="S237" s="587"/>
      <c r="T237" s="587"/>
    </row>
    <row r="238" spans="1:40" s="783" customFormat="1" ht="0.15" customHeight="1" x14ac:dyDescent="0.3">
      <c r="A238" s="793"/>
      <c r="B238" s="792" t="s">
        <v>355</v>
      </c>
      <c r="C238" s="1631"/>
      <c r="D238" s="1631"/>
      <c r="E238" s="1631"/>
      <c r="F238" s="1631"/>
      <c r="G238" s="1631"/>
      <c r="H238" s="1631"/>
      <c r="I238" s="1781"/>
      <c r="J238" s="1781"/>
      <c r="K238" s="1781"/>
      <c r="L238" s="1785"/>
      <c r="M238" s="1781"/>
      <c r="N238" s="1768">
        <f>SUM(C238:M238)</f>
        <v>0</v>
      </c>
      <c r="O238" s="782"/>
    </row>
    <row r="239" spans="1:40" ht="41.4" x14ac:dyDescent="0.3">
      <c r="A239" s="584" t="s">
        <v>236</v>
      </c>
      <c r="B239" s="581" t="s">
        <v>237</v>
      </c>
      <c r="C239" s="1622"/>
      <c r="D239" s="1622"/>
      <c r="E239" s="1622"/>
      <c r="F239" s="1622"/>
      <c r="G239" s="1622"/>
      <c r="H239" s="1622"/>
      <c r="I239" s="1778"/>
      <c r="J239" s="1778"/>
      <c r="K239" s="1778"/>
      <c r="L239" s="1782"/>
      <c r="M239" s="1778"/>
      <c r="N239" s="1771"/>
      <c r="O239" s="747"/>
      <c r="P239" s="587"/>
      <c r="Q239" s="587"/>
      <c r="R239" s="587"/>
      <c r="S239" s="587"/>
      <c r="T239" s="587"/>
    </row>
    <row r="240" spans="1:40" s="744" customFormat="1" ht="14.25" customHeight="1" thickBot="1" x14ac:dyDescent="0.35">
      <c r="A240" s="585"/>
      <c r="B240" s="583" t="s">
        <v>356</v>
      </c>
      <c r="C240" s="1625"/>
      <c r="D240" s="1625">
        <f>SUM('14.sz.melléklet'!D11)</f>
        <v>197000</v>
      </c>
      <c r="E240" s="1625">
        <f>SUM('14.sz.melléklet'!E11)</f>
        <v>1008000</v>
      </c>
      <c r="F240" s="1625"/>
      <c r="G240" s="1625"/>
      <c r="H240" s="1625"/>
      <c r="I240" s="1779"/>
      <c r="J240" s="1779"/>
      <c r="K240" s="1779"/>
      <c r="L240" s="1783"/>
      <c r="M240" s="1779"/>
      <c r="N240" s="1762">
        <f>SUM(C240:M240)</f>
        <v>1205000</v>
      </c>
      <c r="O240" s="747"/>
      <c r="P240" s="587"/>
      <c r="Q240" s="587"/>
      <c r="R240" s="587"/>
      <c r="S240" s="587"/>
      <c r="T240" s="587"/>
      <c r="U240" s="587"/>
      <c r="V240" s="587"/>
      <c r="W240" s="587"/>
      <c r="X240" s="587"/>
      <c r="Y240" s="587"/>
      <c r="Z240" s="587"/>
      <c r="AA240" s="587"/>
      <c r="AB240" s="587"/>
      <c r="AC240" s="587"/>
      <c r="AD240" s="587"/>
      <c r="AE240" s="587"/>
      <c r="AF240" s="587"/>
      <c r="AG240" s="587"/>
      <c r="AH240" s="587"/>
      <c r="AI240" s="587"/>
      <c r="AJ240" s="587"/>
      <c r="AK240" s="587"/>
      <c r="AL240" s="587"/>
      <c r="AM240" s="587"/>
      <c r="AN240" s="587"/>
    </row>
    <row r="241" spans="1:40" ht="0.15" customHeight="1" thickBot="1" x14ac:dyDescent="0.35">
      <c r="A241" s="937"/>
      <c r="B241" s="938" t="s">
        <v>357</v>
      </c>
      <c r="C241" s="1628"/>
      <c r="D241" s="1628">
        <f>SUM('14.sz.melléklet'!D12)</f>
        <v>197000</v>
      </c>
      <c r="E241" s="1628">
        <f>SUM('14.sz.melléklet'!E12)</f>
        <v>1008000</v>
      </c>
      <c r="F241" s="1628"/>
      <c r="G241" s="1628"/>
      <c r="H241" s="1628"/>
      <c r="I241" s="1780"/>
      <c r="J241" s="1780"/>
      <c r="K241" s="1780"/>
      <c r="L241" s="1784"/>
      <c r="M241" s="1780"/>
      <c r="N241" s="1765">
        <f>SUM(C241:M241)</f>
        <v>1205000</v>
      </c>
      <c r="O241" s="747"/>
      <c r="P241" s="587"/>
      <c r="Q241" s="587"/>
      <c r="R241" s="587"/>
      <c r="S241" s="587"/>
      <c r="T241" s="587"/>
    </row>
    <row r="242" spans="1:40" s="783" customFormat="1" ht="0.15" customHeight="1" x14ac:dyDescent="0.3">
      <c r="A242" s="793"/>
      <c r="B242" s="792" t="s">
        <v>355</v>
      </c>
      <c r="C242" s="1631"/>
      <c r="D242" s="1631"/>
      <c r="E242" s="1631"/>
      <c r="F242" s="1631"/>
      <c r="G242" s="1631"/>
      <c r="H242" s="1631"/>
      <c r="I242" s="1781"/>
      <c r="J242" s="1781"/>
      <c r="K242" s="1781"/>
      <c r="L242" s="1785"/>
      <c r="M242" s="1781"/>
      <c r="N242" s="1768">
        <f>SUM(C242:M242)</f>
        <v>0</v>
      </c>
      <c r="O242" s="782"/>
    </row>
    <row r="243" spans="1:40" ht="27.6" x14ac:dyDescent="0.3">
      <c r="A243" s="584" t="s">
        <v>234</v>
      </c>
      <c r="B243" s="581" t="s">
        <v>235</v>
      </c>
      <c r="C243" s="1622"/>
      <c r="D243" s="1622"/>
      <c r="E243" s="1622"/>
      <c r="F243" s="1622"/>
      <c r="G243" s="1622"/>
      <c r="H243" s="1622"/>
      <c r="I243" s="1778"/>
      <c r="J243" s="1778"/>
      <c r="K243" s="1778"/>
      <c r="L243" s="1782"/>
      <c r="M243" s="1778"/>
      <c r="N243" s="1771"/>
      <c r="O243" s="747"/>
      <c r="P243" s="587"/>
      <c r="Q243" s="587"/>
      <c r="R243" s="587"/>
      <c r="S243" s="587"/>
      <c r="T243" s="587"/>
    </row>
    <row r="244" spans="1:40" s="744" customFormat="1" ht="14.25" customHeight="1" thickBot="1" x14ac:dyDescent="0.35">
      <c r="A244" s="585"/>
      <c r="B244" s="583" t="s">
        <v>356</v>
      </c>
      <c r="C244" s="1625">
        <f>SUM('14.sz.melléklet'!C15)</f>
        <v>2438000</v>
      </c>
      <c r="D244" s="1625">
        <f>SUM('14.sz.melléklet'!D15)</f>
        <v>591000</v>
      </c>
      <c r="E244" s="1625">
        <f>SUM('14.sz.melléklet'!E15)</f>
        <v>18387000</v>
      </c>
      <c r="F244" s="1625"/>
      <c r="G244" s="1625"/>
      <c r="H244" s="1625">
        <f>SUM('14.sz.melléklet'!F15)</f>
        <v>3886000</v>
      </c>
      <c r="I244" s="1779"/>
      <c r="J244" s="1779"/>
      <c r="K244" s="1779"/>
      <c r="L244" s="1783"/>
      <c r="M244" s="1779"/>
      <c r="N244" s="1762">
        <f>SUM(C244:M244)</f>
        <v>25302000</v>
      </c>
      <c r="O244" s="747"/>
      <c r="P244" s="587"/>
      <c r="Q244" s="587"/>
      <c r="R244" s="587"/>
      <c r="S244" s="587"/>
      <c r="T244" s="587"/>
      <c r="U244" s="587"/>
      <c r="V244" s="587"/>
      <c r="W244" s="587"/>
      <c r="X244" s="587"/>
      <c r="Y244" s="587"/>
      <c r="Z244" s="587"/>
      <c r="AA244" s="587"/>
      <c r="AB244" s="587"/>
      <c r="AC244" s="587"/>
      <c r="AD244" s="587"/>
      <c r="AE244" s="587"/>
      <c r="AF244" s="587"/>
      <c r="AG244" s="587"/>
      <c r="AH244" s="587"/>
      <c r="AI244" s="587"/>
      <c r="AJ244" s="587"/>
      <c r="AK244" s="587"/>
      <c r="AL244" s="587"/>
      <c r="AM244" s="587"/>
      <c r="AN244" s="587"/>
    </row>
    <row r="245" spans="1:40" ht="0.15" customHeight="1" thickBot="1" x14ac:dyDescent="0.35">
      <c r="A245" s="937"/>
      <c r="B245" s="938" t="s">
        <v>357</v>
      </c>
      <c r="C245" s="1628">
        <f>SUM('14.sz.melléklet'!C16)</f>
        <v>2438000</v>
      </c>
      <c r="D245" s="1628">
        <f>SUM('14.sz.melléklet'!D16)</f>
        <v>591000</v>
      </c>
      <c r="E245" s="1628">
        <f>SUM('14.sz.melléklet'!E16)</f>
        <v>18387000</v>
      </c>
      <c r="F245" s="1628"/>
      <c r="G245" s="1628"/>
      <c r="H245" s="1628">
        <f>SUM('14.sz.melléklet'!F16)</f>
        <v>3886000</v>
      </c>
      <c r="I245" s="1780"/>
      <c r="J245" s="1780"/>
      <c r="K245" s="1780"/>
      <c r="L245" s="1784"/>
      <c r="M245" s="1780"/>
      <c r="N245" s="1765">
        <f>SUM(C245:M245)</f>
        <v>25302000</v>
      </c>
      <c r="O245" s="747"/>
      <c r="P245" s="587"/>
      <c r="Q245" s="587"/>
      <c r="R245" s="587"/>
      <c r="S245" s="587"/>
      <c r="T245" s="587"/>
    </row>
    <row r="246" spans="1:40" s="783" customFormat="1" ht="0.15" customHeight="1" x14ac:dyDescent="0.3">
      <c r="A246" s="793"/>
      <c r="B246" s="792" t="s">
        <v>355</v>
      </c>
      <c r="C246" s="1631"/>
      <c r="D246" s="1631"/>
      <c r="E246" s="1631"/>
      <c r="F246" s="1631"/>
      <c r="G246" s="1631"/>
      <c r="H246" s="1631"/>
      <c r="I246" s="1781"/>
      <c r="J246" s="1781"/>
      <c r="K246" s="1781"/>
      <c r="L246" s="1785"/>
      <c r="M246" s="1781"/>
      <c r="N246" s="1768">
        <f>SUM(C246:M246)</f>
        <v>0</v>
      </c>
      <c r="O246" s="782"/>
    </row>
    <row r="247" spans="1:40" ht="27.6" x14ac:dyDescent="0.3">
      <c r="A247" s="584" t="s">
        <v>387</v>
      </c>
      <c r="B247" s="581" t="s">
        <v>391</v>
      </c>
      <c r="C247" s="1622"/>
      <c r="D247" s="1622"/>
      <c r="E247" s="1622"/>
      <c r="F247" s="1622"/>
      <c r="G247" s="1622"/>
      <c r="H247" s="1622"/>
      <c r="I247" s="1778"/>
      <c r="J247" s="1778"/>
      <c r="K247" s="1778"/>
      <c r="L247" s="1782"/>
      <c r="M247" s="1778"/>
      <c r="N247" s="1771"/>
      <c r="O247" s="747"/>
      <c r="P247" s="587"/>
      <c r="Q247" s="587"/>
      <c r="R247" s="587"/>
      <c r="S247" s="587"/>
      <c r="T247" s="587"/>
    </row>
    <row r="248" spans="1:40" s="744" customFormat="1" ht="14.25" customHeight="1" thickBot="1" x14ac:dyDescent="0.35">
      <c r="A248" s="585"/>
      <c r="B248" s="583" t="s">
        <v>356</v>
      </c>
      <c r="C248" s="1625">
        <f>SUM('14.sz.melléklet'!C19)</f>
        <v>4514000</v>
      </c>
      <c r="D248" s="1625">
        <f>'14.sz.melléklet'!D19</f>
        <v>915000</v>
      </c>
      <c r="E248" s="1625">
        <f>SUM('6. sz.melléklet'!E93+'14.sz.melléklet'!E19)</f>
        <v>46970000</v>
      </c>
      <c r="F248" s="1625"/>
      <c r="G248" s="1625"/>
      <c r="H248" s="1625">
        <f>SUM('14.sz.melléklet'!F19)</f>
        <v>80000</v>
      </c>
      <c r="I248" s="1779"/>
      <c r="J248" s="1779"/>
      <c r="K248" s="1779"/>
      <c r="L248" s="1783"/>
      <c r="M248" s="1779"/>
      <c r="N248" s="1762">
        <f>SUM(C248:M248)</f>
        <v>52479000</v>
      </c>
      <c r="O248" s="747"/>
      <c r="P248" s="587"/>
      <c r="Q248" s="587"/>
      <c r="R248" s="587"/>
      <c r="S248" s="587"/>
      <c r="T248" s="587"/>
      <c r="U248" s="587"/>
      <c r="V248" s="587"/>
      <c r="W248" s="587"/>
      <c r="X248" s="587"/>
      <c r="Y248" s="587"/>
      <c r="Z248" s="587"/>
      <c r="AA248" s="587"/>
      <c r="AB248" s="587"/>
      <c r="AC248" s="587"/>
      <c r="AD248" s="587"/>
      <c r="AE248" s="587"/>
      <c r="AF248" s="587"/>
      <c r="AG248" s="587"/>
      <c r="AH248" s="587"/>
      <c r="AI248" s="587"/>
      <c r="AJ248" s="587"/>
      <c r="AK248" s="587"/>
      <c r="AL248" s="587"/>
      <c r="AM248" s="587"/>
      <c r="AN248" s="587"/>
    </row>
    <row r="249" spans="1:40" ht="0.15" customHeight="1" thickBot="1" x14ac:dyDescent="0.35">
      <c r="A249" s="937"/>
      <c r="B249" s="938" t="s">
        <v>357</v>
      </c>
      <c r="C249" s="1628"/>
      <c r="D249" s="1628"/>
      <c r="E249" s="1628">
        <f>SUM('6. sz.melléklet'!E94+'14.sz.melléklet'!E20)</f>
        <v>46970000</v>
      </c>
      <c r="F249" s="1628"/>
      <c r="G249" s="1628"/>
      <c r="H249" s="1628"/>
      <c r="I249" s="1780"/>
      <c r="J249" s="1780"/>
      <c r="K249" s="1780"/>
      <c r="L249" s="1784"/>
      <c r="M249" s="1780"/>
      <c r="N249" s="1765">
        <f>SUM(C249:M249)</f>
        <v>46970000</v>
      </c>
      <c r="O249" s="747"/>
      <c r="P249" s="587"/>
      <c r="Q249" s="587"/>
      <c r="R249" s="587"/>
      <c r="S249" s="587"/>
      <c r="T249" s="587"/>
    </row>
    <row r="250" spans="1:40" s="783" customFormat="1" ht="0.15" customHeight="1" x14ac:dyDescent="0.3">
      <c r="A250" s="793"/>
      <c r="B250" s="792" t="s">
        <v>355</v>
      </c>
      <c r="C250" s="1631"/>
      <c r="D250" s="1631"/>
      <c r="E250" s="1631"/>
      <c r="F250" s="1631"/>
      <c r="G250" s="1631"/>
      <c r="H250" s="1631"/>
      <c r="I250" s="1781"/>
      <c r="J250" s="1781"/>
      <c r="K250" s="1781"/>
      <c r="L250" s="1785"/>
      <c r="M250" s="1781"/>
      <c r="N250" s="1768">
        <f>SUM(C250:M250)</f>
        <v>0</v>
      </c>
      <c r="O250" s="782"/>
    </row>
    <row r="251" spans="1:40" s="1618" customFormat="1" ht="27.6" x14ac:dyDescent="0.3">
      <c r="A251" s="2073" t="s">
        <v>537</v>
      </c>
      <c r="B251" s="2074" t="s">
        <v>538</v>
      </c>
      <c r="C251" s="2075"/>
      <c r="D251" s="2075"/>
      <c r="E251" s="2075"/>
      <c r="F251" s="2075"/>
      <c r="G251" s="2075"/>
      <c r="H251" s="2075"/>
      <c r="I251" s="2076"/>
      <c r="J251" s="2076"/>
      <c r="K251" s="2076"/>
      <c r="L251" s="2077"/>
      <c r="M251" s="2076"/>
      <c r="N251" s="2078"/>
      <c r="O251" s="1617"/>
    </row>
    <row r="252" spans="1:40" s="1618" customFormat="1" ht="14.25" customHeight="1" thickBot="1" x14ac:dyDescent="0.35">
      <c r="A252" s="2079"/>
      <c r="B252" s="1616" t="s">
        <v>356</v>
      </c>
      <c r="C252" s="1657"/>
      <c r="D252" s="1657"/>
      <c r="E252" s="1657">
        <f>'6. sz.melléklet'!E97</f>
        <v>4499483</v>
      </c>
      <c r="F252" s="1657"/>
      <c r="G252" s="1657"/>
      <c r="H252" s="1657">
        <f>SUM('6. sz.melléklet'!H97)</f>
        <v>448624239</v>
      </c>
      <c r="I252" s="2080"/>
      <c r="J252" s="2080"/>
      <c r="K252" s="2080"/>
      <c r="L252" s="2081"/>
      <c r="M252" s="2080"/>
      <c r="N252" s="2082">
        <f>SUM(C252:M252)</f>
        <v>453123722</v>
      </c>
      <c r="O252" s="1617"/>
    </row>
    <row r="253" spans="1:40" ht="27.6" x14ac:dyDescent="0.3">
      <c r="A253" s="742" t="s">
        <v>453</v>
      </c>
      <c r="B253" s="741" t="s">
        <v>455</v>
      </c>
      <c r="C253" s="1670"/>
      <c r="D253" s="1670"/>
      <c r="E253" s="1670"/>
      <c r="F253" s="1670"/>
      <c r="G253" s="1670"/>
      <c r="H253" s="1670"/>
      <c r="I253" s="1797"/>
      <c r="J253" s="1797"/>
      <c r="K253" s="1797"/>
      <c r="L253" s="1798"/>
      <c r="M253" s="1797"/>
      <c r="N253" s="1799"/>
      <c r="O253" s="747"/>
      <c r="P253" s="587"/>
      <c r="Q253" s="587"/>
      <c r="R253" s="587"/>
      <c r="S253" s="587"/>
      <c r="T253" s="587"/>
    </row>
    <row r="254" spans="1:40" ht="14.25" customHeight="1" thickBot="1" x14ac:dyDescent="0.35">
      <c r="A254" s="585"/>
      <c r="B254" s="583" t="s">
        <v>356</v>
      </c>
      <c r="C254" s="1625"/>
      <c r="D254" s="1625"/>
      <c r="E254" s="1625">
        <f>SUM('6. sz.melléklet'!E99)</f>
        <v>603000</v>
      </c>
      <c r="F254" s="1625"/>
      <c r="G254" s="1625"/>
      <c r="H254" s="1625"/>
      <c r="I254" s="1779"/>
      <c r="J254" s="1779"/>
      <c r="K254" s="1779"/>
      <c r="L254" s="1779"/>
      <c r="M254" s="1779"/>
      <c r="N254" s="1762">
        <f>SUM(C254:M254)</f>
        <v>603000</v>
      </c>
      <c r="O254" s="747"/>
      <c r="P254" s="587"/>
      <c r="Q254" s="587"/>
      <c r="R254" s="587"/>
      <c r="S254" s="587"/>
      <c r="T254" s="587"/>
    </row>
    <row r="255" spans="1:40" ht="0.15" customHeight="1" thickBot="1" x14ac:dyDescent="0.35">
      <c r="A255" s="937"/>
      <c r="B255" s="938" t="s">
        <v>357</v>
      </c>
      <c r="C255" s="1628"/>
      <c r="D255" s="1628"/>
      <c r="E255" s="1628">
        <f>SUM('6. sz.melléklet'!E100)</f>
        <v>603000</v>
      </c>
      <c r="F255" s="1628"/>
      <c r="G255" s="1628"/>
      <c r="H255" s="1628"/>
      <c r="I255" s="1780"/>
      <c r="J255" s="1780"/>
      <c r="K255" s="1780"/>
      <c r="L255" s="1784"/>
      <c r="M255" s="1780"/>
      <c r="N255" s="1765">
        <f>SUM(E255:M255)</f>
        <v>603000</v>
      </c>
      <c r="O255" s="747"/>
      <c r="P255" s="587"/>
      <c r="Q255" s="587"/>
      <c r="R255" s="587"/>
      <c r="S255" s="587"/>
      <c r="T255" s="587"/>
    </row>
    <row r="256" spans="1:40" ht="0.15" customHeight="1" x14ac:dyDescent="0.3">
      <c r="A256" s="935"/>
      <c r="B256" s="936"/>
      <c r="C256" s="1734"/>
      <c r="D256" s="1734"/>
      <c r="E256" s="1734"/>
      <c r="F256" s="1734"/>
      <c r="G256" s="1734"/>
      <c r="H256" s="1734"/>
      <c r="I256" s="1790"/>
      <c r="J256" s="1790"/>
      <c r="K256" s="1790"/>
      <c r="L256" s="1791"/>
      <c r="M256" s="1790"/>
      <c r="N256" s="1792"/>
      <c r="O256" s="747"/>
      <c r="P256" s="587"/>
      <c r="Q256" s="587"/>
      <c r="R256" s="587"/>
      <c r="S256" s="587"/>
      <c r="T256" s="587"/>
    </row>
    <row r="257" spans="1:40" ht="14.25" customHeight="1" x14ac:dyDescent="0.3">
      <c r="A257" s="742" t="s">
        <v>267</v>
      </c>
      <c r="B257" s="741" t="s">
        <v>113</v>
      </c>
      <c r="C257" s="1670"/>
      <c r="D257" s="1670"/>
      <c r="E257" s="1670"/>
      <c r="F257" s="1670"/>
      <c r="G257" s="1670"/>
      <c r="H257" s="1670"/>
      <c r="I257" s="1797"/>
      <c r="J257" s="1797"/>
      <c r="K257" s="1797"/>
      <c r="L257" s="1798"/>
      <c r="M257" s="1797"/>
      <c r="N257" s="1799"/>
      <c r="O257" s="747"/>
      <c r="P257" s="587"/>
      <c r="Q257" s="587"/>
      <c r="R257" s="587"/>
      <c r="S257" s="587"/>
      <c r="T257" s="587"/>
    </row>
    <row r="258" spans="1:40" s="744" customFormat="1" ht="14.25" customHeight="1" thickBot="1" x14ac:dyDescent="0.35">
      <c r="A258" s="585"/>
      <c r="B258" s="583" t="s">
        <v>356</v>
      </c>
      <c r="C258" s="1625"/>
      <c r="D258" s="1625"/>
      <c r="E258" s="1625">
        <f>SUM('6. sz.melléklet'!E103)</f>
        <v>1092000</v>
      </c>
      <c r="F258" s="1625"/>
      <c r="G258" s="1625"/>
      <c r="H258" s="1625"/>
      <c r="I258" s="1779"/>
      <c r="J258" s="1779"/>
      <c r="K258" s="1779"/>
      <c r="L258" s="1783"/>
      <c r="M258" s="1779"/>
      <c r="N258" s="1762">
        <f>SUM(C258:M258)</f>
        <v>1092000</v>
      </c>
      <c r="O258" s="747"/>
      <c r="P258" s="587"/>
      <c r="Q258" s="587"/>
      <c r="R258" s="587"/>
      <c r="S258" s="587"/>
      <c r="T258" s="587"/>
      <c r="U258" s="587"/>
      <c r="V258" s="587"/>
      <c r="W258" s="587"/>
      <c r="X258" s="587"/>
      <c r="Y258" s="587"/>
      <c r="Z258" s="587"/>
      <c r="AA258" s="587"/>
      <c r="AB258" s="587"/>
      <c r="AC258" s="587"/>
      <c r="AD258" s="587"/>
      <c r="AE258" s="587"/>
      <c r="AF258" s="587"/>
      <c r="AG258" s="587"/>
      <c r="AH258" s="587"/>
      <c r="AI258" s="587"/>
      <c r="AJ258" s="587"/>
      <c r="AK258" s="587"/>
      <c r="AL258" s="587"/>
      <c r="AM258" s="587"/>
      <c r="AN258" s="587"/>
    </row>
    <row r="259" spans="1:40" ht="0.15" customHeight="1" thickBot="1" x14ac:dyDescent="0.35">
      <c r="A259" s="937"/>
      <c r="B259" s="938" t="s">
        <v>357</v>
      </c>
      <c r="C259" s="1628"/>
      <c r="D259" s="1628"/>
      <c r="E259" s="1628"/>
      <c r="F259" s="1628"/>
      <c r="G259" s="1628"/>
      <c r="H259" s="1628"/>
      <c r="I259" s="1780"/>
      <c r="J259" s="1780"/>
      <c r="K259" s="1780"/>
      <c r="L259" s="1784"/>
      <c r="M259" s="1780"/>
      <c r="N259" s="1765">
        <f>SUM(C259:M259)</f>
        <v>0</v>
      </c>
      <c r="O259" s="747"/>
      <c r="P259" s="587"/>
      <c r="Q259" s="587"/>
      <c r="R259" s="587"/>
      <c r="S259" s="587"/>
      <c r="T259" s="587"/>
    </row>
    <row r="260" spans="1:40" s="783" customFormat="1" ht="0.15" customHeight="1" x14ac:dyDescent="0.3">
      <c r="A260" s="793"/>
      <c r="B260" s="792" t="s">
        <v>355</v>
      </c>
      <c r="C260" s="1631"/>
      <c r="D260" s="1631"/>
      <c r="E260" s="1631"/>
      <c r="F260" s="1631"/>
      <c r="G260" s="1631"/>
      <c r="H260" s="1631"/>
      <c r="I260" s="1781"/>
      <c r="J260" s="1781"/>
      <c r="K260" s="1781"/>
      <c r="L260" s="1785"/>
      <c r="M260" s="1781"/>
      <c r="N260" s="1768">
        <f>SUM(C260:M260)</f>
        <v>0</v>
      </c>
      <c r="O260" s="782"/>
    </row>
    <row r="261" spans="1:40" ht="27.6" x14ac:dyDescent="0.3">
      <c r="A261" s="584" t="s">
        <v>268</v>
      </c>
      <c r="B261" s="581" t="s">
        <v>269</v>
      </c>
      <c r="C261" s="1622"/>
      <c r="D261" s="1622"/>
      <c r="E261" s="1622"/>
      <c r="F261" s="1622"/>
      <c r="G261" s="1622"/>
      <c r="H261" s="1622"/>
      <c r="I261" s="1778"/>
      <c r="J261" s="1778"/>
      <c r="K261" s="1778"/>
      <c r="L261" s="1782"/>
      <c r="M261" s="1778"/>
      <c r="N261" s="1771"/>
      <c r="O261" s="747"/>
      <c r="P261" s="587"/>
      <c r="Q261" s="587"/>
      <c r="R261" s="587"/>
      <c r="S261" s="587"/>
      <c r="T261" s="587"/>
    </row>
    <row r="262" spans="1:40" s="744" customFormat="1" ht="14.25" customHeight="1" thickBot="1" x14ac:dyDescent="0.35">
      <c r="A262" s="585"/>
      <c r="B262" s="583" t="s">
        <v>356</v>
      </c>
      <c r="C262" s="1625"/>
      <c r="D262" s="1625"/>
      <c r="E262" s="1625"/>
      <c r="F262" s="1625">
        <f>SUM('6. sz.melléklet'!F107)</f>
        <v>202000</v>
      </c>
      <c r="G262" s="1625"/>
      <c r="H262" s="1625"/>
      <c r="I262" s="1779"/>
      <c r="J262" s="1779"/>
      <c r="K262" s="1779"/>
      <c r="L262" s="1783"/>
      <c r="M262" s="1779"/>
      <c r="N262" s="1762">
        <f t="shared" ref="N262:N272" si="11">SUM(C262:M262)</f>
        <v>202000</v>
      </c>
      <c r="O262" s="747"/>
      <c r="P262" s="587"/>
      <c r="Q262" s="587"/>
      <c r="R262" s="587"/>
      <c r="S262" s="587"/>
      <c r="T262" s="587"/>
      <c r="U262" s="587"/>
      <c r="V262" s="587"/>
      <c r="W262" s="587"/>
      <c r="X262" s="587"/>
      <c r="Y262" s="587"/>
      <c r="Z262" s="587"/>
      <c r="AA262" s="587"/>
      <c r="AB262" s="587"/>
      <c r="AC262" s="587"/>
      <c r="AD262" s="587"/>
      <c r="AE262" s="587"/>
      <c r="AF262" s="587"/>
      <c r="AG262" s="587"/>
      <c r="AH262" s="587"/>
      <c r="AI262" s="587"/>
      <c r="AJ262" s="587"/>
      <c r="AK262" s="587"/>
      <c r="AL262" s="587"/>
      <c r="AM262" s="587"/>
      <c r="AN262" s="587"/>
    </row>
    <row r="263" spans="1:40" ht="0.15" customHeight="1" thickBot="1" x14ac:dyDescent="0.35">
      <c r="A263" s="937"/>
      <c r="B263" s="938" t="s">
        <v>357</v>
      </c>
      <c r="C263" s="1628"/>
      <c r="D263" s="1628"/>
      <c r="E263" s="1628"/>
      <c r="F263" s="1628">
        <f>SUM('6. sz.melléklet'!F108)</f>
        <v>202000</v>
      </c>
      <c r="G263" s="1628"/>
      <c r="H263" s="1628"/>
      <c r="I263" s="1780"/>
      <c r="J263" s="1780"/>
      <c r="K263" s="1780"/>
      <c r="L263" s="1784"/>
      <c r="M263" s="1780"/>
      <c r="N263" s="1765">
        <f t="shared" si="11"/>
        <v>202000</v>
      </c>
      <c r="O263" s="747"/>
      <c r="P263" s="587"/>
      <c r="Q263" s="587"/>
      <c r="R263" s="587"/>
      <c r="S263" s="587"/>
      <c r="T263" s="587"/>
    </row>
    <row r="264" spans="1:40" s="783" customFormat="1" ht="0.15" customHeight="1" x14ac:dyDescent="0.3">
      <c r="A264" s="793"/>
      <c r="B264" s="792" t="s">
        <v>355</v>
      </c>
      <c r="C264" s="1631"/>
      <c r="D264" s="1631"/>
      <c r="E264" s="1631"/>
      <c r="F264" s="1631"/>
      <c r="G264" s="1631"/>
      <c r="H264" s="1631"/>
      <c r="I264" s="1781"/>
      <c r="J264" s="1781"/>
      <c r="K264" s="1781"/>
      <c r="L264" s="1785"/>
      <c r="M264" s="1781"/>
      <c r="N264" s="1768">
        <f t="shared" si="11"/>
        <v>0</v>
      </c>
      <c r="O264" s="782"/>
    </row>
    <row r="265" spans="1:40" x14ac:dyDescent="0.3">
      <c r="A265" s="584" t="s">
        <v>493</v>
      </c>
      <c r="B265" s="581" t="s">
        <v>494</v>
      </c>
      <c r="C265" s="1622"/>
      <c r="D265" s="1622"/>
      <c r="E265" s="1622"/>
      <c r="F265" s="1622"/>
      <c r="G265" s="1622"/>
      <c r="H265" s="1622"/>
      <c r="I265" s="1778"/>
      <c r="J265" s="1778"/>
      <c r="K265" s="1778"/>
      <c r="L265" s="1782"/>
      <c r="M265" s="1778"/>
      <c r="N265" s="1771"/>
      <c r="O265" s="747"/>
      <c r="P265" s="587"/>
      <c r="Q265" s="587"/>
      <c r="R265" s="587"/>
      <c r="S265" s="587"/>
      <c r="T265" s="587"/>
    </row>
    <row r="266" spans="1:40" s="744" customFormat="1" ht="14.25" customHeight="1" thickBot="1" x14ac:dyDescent="0.35">
      <c r="A266" s="585"/>
      <c r="B266" s="583" t="s">
        <v>356</v>
      </c>
      <c r="C266" s="1625"/>
      <c r="D266" s="1625"/>
      <c r="E266" s="1625"/>
      <c r="F266" s="1625">
        <f>SUM('6. sz.melléklet'!F111)</f>
        <v>0</v>
      </c>
      <c r="G266" s="1625"/>
      <c r="H266" s="1625"/>
      <c r="I266" s="1779"/>
      <c r="J266" s="1779"/>
      <c r="K266" s="1779"/>
      <c r="L266" s="1783"/>
      <c r="M266" s="1779"/>
      <c r="N266" s="1762">
        <f t="shared" si="11"/>
        <v>0</v>
      </c>
      <c r="O266" s="747"/>
      <c r="P266" s="587"/>
      <c r="Q266" s="587"/>
      <c r="R266" s="587"/>
      <c r="S266" s="587"/>
      <c r="T266" s="587"/>
      <c r="U266" s="587"/>
      <c r="V266" s="587"/>
      <c r="W266" s="587"/>
      <c r="X266" s="587"/>
      <c r="Y266" s="587"/>
      <c r="Z266" s="587"/>
      <c r="AA266" s="587"/>
      <c r="AB266" s="587"/>
      <c r="AC266" s="587"/>
      <c r="AD266" s="587"/>
      <c r="AE266" s="587"/>
      <c r="AF266" s="587"/>
      <c r="AG266" s="587"/>
      <c r="AH266" s="587"/>
      <c r="AI266" s="587"/>
      <c r="AJ266" s="587"/>
      <c r="AK266" s="587"/>
      <c r="AL266" s="587"/>
      <c r="AM266" s="587"/>
      <c r="AN266" s="587"/>
    </row>
    <row r="267" spans="1:40" ht="0.15" customHeight="1" thickBot="1" x14ac:dyDescent="0.35">
      <c r="A267" s="937"/>
      <c r="B267" s="938" t="s">
        <v>357</v>
      </c>
      <c r="C267" s="1628"/>
      <c r="D267" s="1628"/>
      <c r="E267" s="1628"/>
      <c r="F267" s="1628"/>
      <c r="G267" s="1628"/>
      <c r="H267" s="1628"/>
      <c r="I267" s="1780"/>
      <c r="J267" s="1780"/>
      <c r="K267" s="1780"/>
      <c r="L267" s="1784"/>
      <c r="M267" s="1780"/>
      <c r="N267" s="1765">
        <f t="shared" si="11"/>
        <v>0</v>
      </c>
      <c r="O267" s="747"/>
      <c r="P267" s="587"/>
      <c r="Q267" s="587"/>
      <c r="R267" s="587"/>
      <c r="S267" s="587"/>
      <c r="T267" s="587"/>
    </row>
    <row r="268" spans="1:40" s="783" customFormat="1" ht="0.15" customHeight="1" x14ac:dyDescent="0.3">
      <c r="A268" s="793"/>
      <c r="B268" s="792" t="s">
        <v>355</v>
      </c>
      <c r="C268" s="1631"/>
      <c r="D268" s="1631"/>
      <c r="E268" s="1631"/>
      <c r="F268" s="1631"/>
      <c r="G268" s="1631"/>
      <c r="H268" s="1631"/>
      <c r="I268" s="1781"/>
      <c r="J268" s="1781"/>
      <c r="K268" s="1781"/>
      <c r="L268" s="1785"/>
      <c r="M268" s="1781"/>
      <c r="N268" s="1768">
        <f t="shared" si="11"/>
        <v>0</v>
      </c>
      <c r="O268" s="782"/>
    </row>
    <row r="269" spans="1:40" ht="14.25" customHeight="1" x14ac:dyDescent="0.3">
      <c r="A269" s="584" t="s">
        <v>270</v>
      </c>
      <c r="B269" s="581" t="s">
        <v>271</v>
      </c>
      <c r="C269" s="1622"/>
      <c r="D269" s="1622"/>
      <c r="E269" s="1622"/>
      <c r="F269" s="1622"/>
      <c r="G269" s="1622"/>
      <c r="H269" s="1622"/>
      <c r="I269" s="1778"/>
      <c r="J269" s="1778"/>
      <c r="K269" s="1778"/>
      <c r="L269" s="1782"/>
      <c r="M269" s="1778"/>
      <c r="N269" s="1771">
        <f t="shared" si="11"/>
        <v>0</v>
      </c>
      <c r="O269" s="747"/>
      <c r="P269" s="587"/>
      <c r="Q269" s="587"/>
      <c r="R269" s="587"/>
      <c r="S269" s="587"/>
      <c r="T269" s="587"/>
    </row>
    <row r="270" spans="1:40" s="744" customFormat="1" ht="14.25" customHeight="1" thickBot="1" x14ac:dyDescent="0.35">
      <c r="A270" s="585"/>
      <c r="B270" s="583" t="s">
        <v>356</v>
      </c>
      <c r="C270" s="1625"/>
      <c r="D270" s="1625"/>
      <c r="E270" s="1625"/>
      <c r="F270" s="1625">
        <f>SUM('6. sz.melléklet'!F115)</f>
        <v>0</v>
      </c>
      <c r="G270" s="1625"/>
      <c r="H270" s="1625"/>
      <c r="I270" s="1779"/>
      <c r="J270" s="1779"/>
      <c r="K270" s="1779"/>
      <c r="L270" s="1783"/>
      <c r="M270" s="1779"/>
      <c r="N270" s="1762">
        <f t="shared" si="11"/>
        <v>0</v>
      </c>
      <c r="O270" s="747"/>
      <c r="P270" s="587"/>
      <c r="Q270" s="587"/>
      <c r="R270" s="587"/>
      <c r="S270" s="587"/>
      <c r="T270" s="587"/>
      <c r="U270" s="587"/>
      <c r="V270" s="587"/>
      <c r="W270" s="587"/>
      <c r="X270" s="587"/>
      <c r="Y270" s="587"/>
      <c r="Z270" s="587"/>
      <c r="AA270" s="587"/>
      <c r="AB270" s="587"/>
      <c r="AC270" s="587"/>
      <c r="AD270" s="587"/>
      <c r="AE270" s="587"/>
      <c r="AF270" s="587"/>
      <c r="AG270" s="587"/>
      <c r="AH270" s="587"/>
      <c r="AI270" s="587"/>
      <c r="AJ270" s="587"/>
      <c r="AK270" s="587"/>
      <c r="AL270" s="587"/>
      <c r="AM270" s="587"/>
      <c r="AN270" s="587"/>
    </row>
    <row r="271" spans="1:40" ht="0.15" customHeight="1" thickBot="1" x14ac:dyDescent="0.35">
      <c r="A271" s="937"/>
      <c r="B271" s="938" t="s">
        <v>357</v>
      </c>
      <c r="C271" s="1628"/>
      <c r="D271" s="1628"/>
      <c r="E271" s="1628"/>
      <c r="F271" s="1628">
        <f>SUM('6. sz.melléklet'!F116)</f>
        <v>0</v>
      </c>
      <c r="G271" s="1628"/>
      <c r="H271" s="1628"/>
      <c r="I271" s="1780"/>
      <c r="J271" s="1780"/>
      <c r="K271" s="1780"/>
      <c r="L271" s="1784"/>
      <c r="M271" s="1780"/>
      <c r="N271" s="1765">
        <f t="shared" si="11"/>
        <v>0</v>
      </c>
      <c r="O271" s="747"/>
      <c r="P271" s="587"/>
      <c r="Q271" s="587"/>
      <c r="R271" s="587"/>
      <c r="S271" s="587"/>
      <c r="T271" s="587"/>
    </row>
    <row r="272" spans="1:40" s="783" customFormat="1" ht="0.15" customHeight="1" x14ac:dyDescent="0.3">
      <c r="A272" s="793"/>
      <c r="B272" s="792" t="s">
        <v>355</v>
      </c>
      <c r="C272" s="1631"/>
      <c r="D272" s="1631"/>
      <c r="E272" s="1631"/>
      <c r="F272" s="1631"/>
      <c r="G272" s="1631"/>
      <c r="H272" s="1631"/>
      <c r="I272" s="1781"/>
      <c r="J272" s="1781"/>
      <c r="K272" s="1781"/>
      <c r="L272" s="1785"/>
      <c r="M272" s="1781"/>
      <c r="N272" s="1768">
        <f t="shared" si="11"/>
        <v>0</v>
      </c>
      <c r="O272" s="782"/>
    </row>
    <row r="273" spans="1:40" ht="27.6" x14ac:dyDescent="0.3">
      <c r="A273" s="584" t="s">
        <v>272</v>
      </c>
      <c r="B273" s="581" t="s">
        <v>273</v>
      </c>
      <c r="C273" s="1622"/>
      <c r="D273" s="1622"/>
      <c r="E273" s="1622"/>
      <c r="F273" s="1622"/>
      <c r="G273" s="1622"/>
      <c r="H273" s="1622"/>
      <c r="I273" s="1778"/>
      <c r="J273" s="1778"/>
      <c r="K273" s="1778"/>
      <c r="L273" s="1782"/>
      <c r="M273" s="1778"/>
      <c r="N273" s="1771"/>
      <c r="O273" s="747"/>
      <c r="P273" s="587"/>
      <c r="Q273" s="587"/>
      <c r="R273" s="587"/>
      <c r="S273" s="587"/>
      <c r="T273" s="587"/>
    </row>
    <row r="274" spans="1:40" s="744" customFormat="1" ht="14.25" customHeight="1" thickBot="1" x14ac:dyDescent="0.35">
      <c r="A274" s="585"/>
      <c r="B274" s="583" t="s">
        <v>356</v>
      </c>
      <c r="C274" s="1625"/>
      <c r="D274" s="1625"/>
      <c r="E274" s="1625"/>
      <c r="F274" s="1625">
        <f>SUM('6. sz.melléklet'!F123)</f>
        <v>21646000</v>
      </c>
      <c r="G274" s="1625"/>
      <c r="H274" s="1625"/>
      <c r="I274" s="1779">
        <f>'6. sz.melléklet'!I123</f>
        <v>390000</v>
      </c>
      <c r="J274" s="1779"/>
      <c r="K274" s="1779"/>
      <c r="L274" s="1783"/>
      <c r="M274" s="1779"/>
      <c r="N274" s="1762">
        <f>SUM(C274:M274)</f>
        <v>22036000</v>
      </c>
      <c r="O274" s="747"/>
      <c r="P274" s="587"/>
      <c r="Q274" s="587"/>
      <c r="R274" s="587"/>
      <c r="S274" s="587"/>
      <c r="T274" s="587"/>
      <c r="U274" s="587"/>
      <c r="V274" s="587"/>
      <c r="W274" s="587"/>
      <c r="X274" s="587"/>
      <c r="Y274" s="587"/>
      <c r="Z274" s="587"/>
      <c r="AA274" s="587"/>
      <c r="AB274" s="587"/>
      <c r="AC274" s="587"/>
      <c r="AD274" s="587"/>
      <c r="AE274" s="587"/>
      <c r="AF274" s="587"/>
      <c r="AG274" s="587"/>
      <c r="AH274" s="587"/>
      <c r="AI274" s="587"/>
      <c r="AJ274" s="587"/>
      <c r="AK274" s="587"/>
      <c r="AL274" s="587"/>
      <c r="AM274" s="587"/>
      <c r="AN274" s="587"/>
    </row>
    <row r="275" spans="1:40" ht="0.15" customHeight="1" thickBot="1" x14ac:dyDescent="0.35">
      <c r="A275" s="937"/>
      <c r="B275" s="938" t="s">
        <v>357</v>
      </c>
      <c r="C275" s="1628"/>
      <c r="D275" s="1628"/>
      <c r="E275" s="1628"/>
      <c r="F275" s="1628">
        <f>SUM('6. sz.melléklet'!F124)</f>
        <v>21649762</v>
      </c>
      <c r="G275" s="1628"/>
      <c r="H275" s="1628"/>
      <c r="I275" s="1780"/>
      <c r="J275" s="1780"/>
      <c r="K275" s="1780"/>
      <c r="L275" s="1784"/>
      <c r="M275" s="1780"/>
      <c r="N275" s="1765">
        <f>SUM(C275:M275)</f>
        <v>21649762</v>
      </c>
      <c r="O275" s="747"/>
      <c r="P275" s="587"/>
      <c r="Q275" s="587"/>
      <c r="R275" s="587"/>
      <c r="S275" s="587"/>
      <c r="T275" s="587"/>
    </row>
    <row r="276" spans="1:40" s="783" customFormat="1" ht="0.15" customHeight="1" x14ac:dyDescent="0.3">
      <c r="A276" s="793"/>
      <c r="B276" s="792" t="s">
        <v>355</v>
      </c>
      <c r="C276" s="1631"/>
      <c r="D276" s="1631"/>
      <c r="E276" s="1631"/>
      <c r="F276" s="1631"/>
      <c r="G276" s="1631"/>
      <c r="H276" s="1631"/>
      <c r="I276" s="1781"/>
      <c r="J276" s="1781"/>
      <c r="K276" s="1781"/>
      <c r="L276" s="1785"/>
      <c r="M276" s="1781"/>
      <c r="N276" s="1768">
        <f>SUM(C276:M276)</f>
        <v>0</v>
      </c>
      <c r="O276" s="782"/>
    </row>
    <row r="277" spans="1:40" ht="14.25" customHeight="1" x14ac:dyDescent="0.3">
      <c r="A277" s="584" t="s">
        <v>278</v>
      </c>
      <c r="B277" s="581" t="s">
        <v>109</v>
      </c>
      <c r="C277" s="1622"/>
      <c r="D277" s="1622"/>
      <c r="E277" s="1622"/>
      <c r="F277" s="1622"/>
      <c r="G277" s="1622"/>
      <c r="H277" s="1622"/>
      <c r="I277" s="1778"/>
      <c r="J277" s="1778"/>
      <c r="K277" s="1778"/>
      <c r="L277" s="1782"/>
      <c r="M277" s="1778"/>
      <c r="N277" s="1771"/>
      <c r="O277" s="747"/>
      <c r="P277" s="587"/>
      <c r="Q277" s="587"/>
      <c r="R277" s="587"/>
      <c r="S277" s="587"/>
      <c r="T277" s="587"/>
    </row>
    <row r="278" spans="1:40" s="744" customFormat="1" ht="14.25" customHeight="1" thickBot="1" x14ac:dyDescent="0.35">
      <c r="A278" s="585"/>
      <c r="B278" s="583" t="s">
        <v>356</v>
      </c>
      <c r="C278" s="1625"/>
      <c r="D278" s="1625"/>
      <c r="E278" s="1625"/>
      <c r="F278" s="1625"/>
      <c r="G278" s="1625"/>
      <c r="H278" s="1625"/>
      <c r="I278" s="1779"/>
      <c r="J278" s="1779"/>
      <c r="K278" s="1779"/>
      <c r="L278" s="1783"/>
      <c r="M278" s="1779">
        <f>SUM('6. sz.melléklet'!M127)</f>
        <v>100000000</v>
      </c>
      <c r="N278" s="1762">
        <f>SUM(C278:M278)</f>
        <v>100000000</v>
      </c>
      <c r="O278" s="747"/>
      <c r="P278" s="587"/>
      <c r="Q278" s="587"/>
      <c r="R278" s="587"/>
      <c r="S278" s="587"/>
      <c r="T278" s="587"/>
      <c r="U278" s="587"/>
      <c r="V278" s="587"/>
      <c r="W278" s="587"/>
      <c r="X278" s="587"/>
      <c r="Y278" s="587"/>
      <c r="Z278" s="587"/>
      <c r="AA278" s="587"/>
      <c r="AB278" s="587"/>
      <c r="AC278" s="587"/>
      <c r="AD278" s="587"/>
      <c r="AE278" s="587"/>
      <c r="AF278" s="587"/>
      <c r="AG278" s="587"/>
      <c r="AH278" s="587"/>
      <c r="AI278" s="587"/>
      <c r="AJ278" s="587"/>
      <c r="AK278" s="587"/>
      <c r="AL278" s="587"/>
      <c r="AM278" s="587"/>
      <c r="AN278" s="587"/>
    </row>
    <row r="279" spans="1:40" ht="0.15" customHeight="1" thickBot="1" x14ac:dyDescent="0.35">
      <c r="A279" s="937"/>
      <c r="B279" s="938" t="s">
        <v>357</v>
      </c>
      <c r="C279" s="1628"/>
      <c r="D279" s="1628"/>
      <c r="E279" s="1628"/>
      <c r="F279" s="1628"/>
      <c r="G279" s="1628"/>
      <c r="H279" s="1628"/>
      <c r="I279" s="1780"/>
      <c r="J279" s="1780"/>
      <c r="K279" s="1780"/>
      <c r="L279" s="1784"/>
      <c r="M279" s="1780">
        <f>SUM('6. sz.melléklet'!M128)</f>
        <v>148750</v>
      </c>
      <c r="N279" s="1765">
        <f>SUM(C279:M279)</f>
        <v>148750</v>
      </c>
      <c r="O279" s="747"/>
      <c r="P279" s="587"/>
      <c r="Q279" s="587"/>
      <c r="R279" s="587"/>
      <c r="S279" s="587"/>
      <c r="T279" s="587"/>
    </row>
    <row r="280" spans="1:40" s="783" customFormat="1" ht="0.15" customHeight="1" thickBot="1" x14ac:dyDescent="0.35">
      <c r="A280" s="793"/>
      <c r="B280" s="792" t="s">
        <v>355</v>
      </c>
      <c r="C280" s="1631"/>
      <c r="D280" s="1631"/>
      <c r="E280" s="1631"/>
      <c r="F280" s="1631"/>
      <c r="G280" s="1631"/>
      <c r="H280" s="1631"/>
      <c r="I280" s="1781"/>
      <c r="J280" s="1781"/>
      <c r="K280" s="1781"/>
      <c r="L280" s="1785"/>
      <c r="M280" s="1781"/>
      <c r="N280" s="1768">
        <f>SUM(C280:M280)</f>
        <v>0</v>
      </c>
      <c r="O280" s="782"/>
    </row>
    <row r="281" spans="1:40" s="783" customFormat="1" ht="15" customHeight="1" thickBot="1" x14ac:dyDescent="0.35">
      <c r="A281" s="1237"/>
      <c r="B281" s="1013"/>
      <c r="C281" s="1651"/>
      <c r="D281" s="1651"/>
      <c r="E281" s="1651"/>
      <c r="F281" s="1651"/>
      <c r="G281" s="1651"/>
      <c r="H281" s="1651"/>
      <c r="I281" s="1800"/>
      <c r="J281" s="1800"/>
      <c r="K281" s="1800"/>
      <c r="L281" s="1801"/>
      <c r="M281" s="1800"/>
      <c r="N281" s="1652"/>
      <c r="O281" s="782"/>
    </row>
    <row r="282" spans="1:40" ht="14.25" customHeight="1" thickBot="1" x14ac:dyDescent="0.35">
      <c r="A282" s="1033"/>
      <c r="B282" s="1034" t="s">
        <v>94</v>
      </c>
      <c r="C282" s="1802"/>
      <c r="D282" s="1802"/>
      <c r="E282" s="1802"/>
      <c r="F282" s="1802"/>
      <c r="G282" s="1802"/>
      <c r="H282" s="1802"/>
      <c r="I282" s="1802"/>
      <c r="J282" s="1802"/>
      <c r="K282" s="1802"/>
      <c r="L282" s="1803"/>
      <c r="M282" s="1802"/>
      <c r="N282" s="1804"/>
      <c r="O282" s="971"/>
      <c r="P282" s="1035"/>
      <c r="Q282" s="587"/>
      <c r="R282" s="587"/>
      <c r="S282" s="587"/>
      <c r="T282" s="587"/>
    </row>
    <row r="283" spans="1:40" ht="14.25" customHeight="1" thickBot="1" x14ac:dyDescent="0.35">
      <c r="A283" s="1036"/>
      <c r="B283" s="1037" t="s">
        <v>356</v>
      </c>
      <c r="C283" s="1802">
        <f>C143+C155+C159+C163+C167+C171+C175+C179+C183+C187+C191+C195+C199+C203+C207+C216+C220+C224+C228+C232+C236+C240+C244+C248+C258+C262+C266+C270+C274+C278+C254+C211+C151+C147+C252</f>
        <v>234509000</v>
      </c>
      <c r="D283" s="1802">
        <f t="shared" ref="D283:N283" si="12">D143+D155+D159+D163+D167+D171+D175+D179+D183+D187+D191+D195+D199+D203+D207+D216+D220+D224+D228+D232+D236+D240+D244+D248+D258+D262+D266+D270+D274+D278+D254+D211+D151+D147+D252</f>
        <v>52136000</v>
      </c>
      <c r="E283" s="1802">
        <f>E143+E155+E159+E163+E167+E171+E175+E179+E183+E187+E191+E195+E199+E203+E207+E216+E220+E224+E228+E232+E236+E240+E244+E248+E258+E262+E266+E270+E274+E278+E254+E211+E151+E147+E252</f>
        <v>266259693</v>
      </c>
      <c r="F283" s="1802">
        <f t="shared" si="12"/>
        <v>21848000</v>
      </c>
      <c r="G283" s="1802">
        <f t="shared" si="12"/>
        <v>294039503</v>
      </c>
      <c r="H283" s="1802">
        <f t="shared" si="12"/>
        <v>908618627</v>
      </c>
      <c r="I283" s="1802">
        <f t="shared" si="12"/>
        <v>110732760</v>
      </c>
      <c r="J283" s="1802">
        <f t="shared" si="12"/>
        <v>6127431</v>
      </c>
      <c r="K283" s="1802">
        <f t="shared" si="12"/>
        <v>3461428</v>
      </c>
      <c r="L283" s="1802">
        <f t="shared" si="12"/>
        <v>77670856</v>
      </c>
      <c r="M283" s="1802">
        <f t="shared" si="12"/>
        <v>101233365</v>
      </c>
      <c r="N283" s="1802">
        <f t="shared" si="12"/>
        <v>2076636663</v>
      </c>
      <c r="O283" s="971"/>
      <c r="P283" s="1035"/>
      <c r="Q283" s="587"/>
      <c r="R283" s="587"/>
      <c r="S283" s="587"/>
      <c r="T283" s="587"/>
    </row>
    <row r="284" spans="1:40" ht="0.15" customHeight="1" thickBot="1" x14ac:dyDescent="0.35">
      <c r="A284" s="1036"/>
      <c r="B284" s="1037" t="s">
        <v>357</v>
      </c>
      <c r="C284" s="1802" t="e">
        <f>C144+C156+C160+C164+C168+C172+C176+C180+C184+C188+C192+#REF!+C196+C200+C204+#REF!+C208+C217+C221+C225+C229+C233+C237+C241+C245+C249+C259+C263+C267+C271+#REF!+C275+C279+#REF!+C255+C212+#REF!+C148+#REF!</f>
        <v>#REF!</v>
      </c>
      <c r="D284" s="1802" t="e">
        <f>D144+D156+D160+D164+D168+D172+D176+D180+D184+D188+D192+#REF!+D196+D200+D204+#REF!+D208+D217+D221+D225+D229+D233+D237+D241+D245+D249+D259+D263+D267+D271+#REF!+D275+D279+#REF!+D255+D212+#REF!+D148+#REF!</f>
        <v>#REF!</v>
      </c>
      <c r="E284" s="1802" t="e">
        <f>E144+E156+E160+E164+E168+E172+E176+E180+E184+E188+E192+#REF!+E196+E200+E204+#REF!+E208+E217+E221+E225+E229+E233+E237+E241+E245+E249+E259+E263+E267+E271+#REF!+E275+E279+#REF!+E255+E212+#REF!+E148+#REF!</f>
        <v>#REF!</v>
      </c>
      <c r="F284" s="1802" t="e">
        <f>F144+F156+F160+F164+F168+F172+F176+F180+F184+F188+F192+#REF!+F196+F200+F204+#REF!+F208+F217+F221+F225+F229+F233+F237+F241+F245+F249+F259+F263+F267+F271+#REF!+F275+F279+#REF!+F255+F212+#REF!+F148+#REF!</f>
        <v>#REF!</v>
      </c>
      <c r="G284" s="1802" t="e">
        <f>G144+G156+G160+G164+G168+G172+G176+G180+G184+G188+G192+#REF!+G196+G200+G204+#REF!+G208+G217+G221+G225+G229+G233+G237+G241+G245+G249+G259+G263+G267+G271+#REF!+G275+G279+#REF!+G255+G212+#REF!+G148+#REF!</f>
        <v>#REF!</v>
      </c>
      <c r="H284" s="1802" t="e">
        <f>H144+H156+H160+H164+H168+H172+H176+H180+H184+H188+H192+#REF!+H196+H200+H204+#REF!+H208+H217+H221+H225+H229+H233+H237+H241+H245+H249+H259+H263+H267+H271+#REF!+H275+H279+#REF!+H255+H212+#REF!+H148+#REF!</f>
        <v>#REF!</v>
      </c>
      <c r="I284" s="1802" t="e">
        <f>I144+I156+I160+I164+I168+I172+I176+I180+I184+I188+I192+#REF!+I196+I200+I204+#REF!+I208+I217+I221+I225+I229+I233+I237+I241+I245+I249+I259+I263+I267+I271+#REF!+I275+I279+#REF!+I255+I212+#REF!+I148+#REF!</f>
        <v>#REF!</v>
      </c>
      <c r="J284" s="1802" t="e">
        <f>J144+J156+J160+J164+J168+J172+J176+J180+J184+J188+J192+#REF!+J196+J200+J204+#REF!+J208+J217+J221+J225+J229+J233+J237+J241+J245+J249+J259+J263+J267+J271+#REF!+J275+J279+#REF!+J255+J212+#REF!+J148+#REF!</f>
        <v>#REF!</v>
      </c>
      <c r="K284" s="1802" t="e">
        <f>K144+K156+K160+K164+K168+K172+K176+K180+K184+K188+K192+#REF!+K196+K200+K204+#REF!+K208+K217+K221+K225+K229+K233+K237+K241+K245+K249+K259+K263+K267+K271+#REF!+K275+K279+#REF!+K255+K212+#REF!+K148+#REF!</f>
        <v>#REF!</v>
      </c>
      <c r="L284" s="1802" t="e">
        <f>L144+L156+L160+L164+L168+L172+L176+L180+L184+L188+L192+#REF!+L196+L200+L204+#REF!+L208+L217+L221+L225+L229+L233+L237+L241+L245+L249+L259+L263+L267+L271+#REF!+L275+L279+#REF!+L255+L212+#REF!+L148+#REF!</f>
        <v>#REF!</v>
      </c>
      <c r="M284" s="1802" t="e">
        <f>M144+M156+M160+M164+M168+M172+M176+M180+M184+M188+M192+#REF!+M196+M200+M204+#REF!+M208+M217+M221+M225+M229+M233+M237+M241+M245+M249+M259+M263+M267+M271+#REF!+M275+M279+#REF!+M255+M212+#REF!+M148+#REF!</f>
        <v>#REF!</v>
      </c>
      <c r="N284" s="1802" t="e">
        <f>N144+N156+N160+N164+N168+N172+N176+N180+N184+N188+N192+#REF!+N196+N200+N204+#REF!+N208+N217+N221+N225+N229+N233+N237+N241+N245+N249+N259+N263+N267+N271+#REF!+N275+N279+#REF!+N255+N212+#REF!+N148+#REF!</f>
        <v>#REF!</v>
      </c>
      <c r="O284" s="971"/>
      <c r="P284" s="1035"/>
      <c r="Q284" s="587"/>
      <c r="R284" s="587"/>
      <c r="S284" s="587"/>
      <c r="T284" s="587"/>
    </row>
    <row r="285" spans="1:40" s="783" customFormat="1" ht="0.15" customHeight="1" thickBot="1" x14ac:dyDescent="0.35">
      <c r="A285" s="1038"/>
      <c r="B285" s="1006" t="s">
        <v>355</v>
      </c>
      <c r="C285" s="1805" t="e">
        <f>C145+C157+C161+C165+C169+C173+C177+C181+C185+C189+C193+#REF!+C197+C201+C205+#REF!+C214+C218+C222+C226+C230+C234+C238+C242+C246+C250+C260+C264+C268+C272+#REF!+C276+C280+#REF!+#REF!</f>
        <v>#REF!</v>
      </c>
      <c r="D285" s="1805" t="e">
        <f>D145+D157+D161+D165+D169+D173+D177+D181+D185+D189+D193+#REF!+D197+D201+D205+#REF!+D214+D218+D222+D226+D230+D234+D238+D242+D246+D250+D260+D264+D268+D272+#REF!+D276+D280+#REF!+#REF!</f>
        <v>#REF!</v>
      </c>
      <c r="E285" s="1805" t="e">
        <f>E145+E157+E161+E165+E169+E173+E177+E181+E185+E189+E193+#REF!+E197+E201+E205+#REF!+E214+E218+E222+E226+E230+E234+E238+E242+E246+E250+E260+E264+E268+E272+#REF!+E276+E280+#REF!+E149+#REF!</f>
        <v>#REF!</v>
      </c>
      <c r="F285" s="1805" t="e">
        <f>F145+F157+F161+F165+F169+F173+F177+F181+F185+F189+F193+#REF!+F197+F201+F205+#REF!+F214+F218+F222+F226+F230+F234+F238+F242+F246+F250+F260+F264+F268+F272+#REF!+F276+F280+#REF!</f>
        <v>#REF!</v>
      </c>
      <c r="G285" s="1805" t="e">
        <f>G145+G157+G161+G165+G169+G173+G177+G181+G185+G189+G193+#REF!+G197+G201+G205+#REF!+G214+G218+G222+G226+G230+G234+G238+G242+G246+G250+G260+G264+G268+G272+#REF!+G276+G280+#REF!</f>
        <v>#REF!</v>
      </c>
      <c r="H285" s="1805" t="e">
        <f>H145+H157+H161+H165+H169+H173+H177+H181+H185+H189+H193+#REF!+H197+H201+H205+#REF!+H214+H218+H222+H226+H230+H234+H238+H242+H246+H250+H260+H264+H268+H272+#REF!+H276+H280+#REF!</f>
        <v>#REF!</v>
      </c>
      <c r="I285" s="1805" t="e">
        <f>I145+I157+I161+I165+I169+I173+I177+I181+I185+I189+I193+#REF!+I197+I201+I205+#REF!+I214+I218+I222+I226+I230+I234+I238+I242+I246+I250+I260+I264+I268+I272+#REF!+I276+I280+#REF!+I149</f>
        <v>#REF!</v>
      </c>
      <c r="J285" s="1805" t="e">
        <f>J145+J157+J161+J165+J169+J173+J177+J181+J185+J189+J193+#REF!+J197+J201+J205+#REF!+J214+J218+J222+J226+J230+J234+J238+J242+J246+J250+J260+J264+J268+J272+#REF!+J276+J280+#REF!</f>
        <v>#REF!</v>
      </c>
      <c r="K285" s="1805" t="e">
        <f>K145+K157+K161+K165+K169+K173+K177+K181+K185+K189+K193+#REF!+K197+K201+K205+#REF!+K214+K218+K222+K226+K230+K234+K238+K242+K246+K250+K260+K264+K268+K272+#REF!+K276+K280+#REF!</f>
        <v>#REF!</v>
      </c>
      <c r="L285" s="1806" t="e">
        <f>L145+L157+L161+L165+L169+L173+L177+L181+L185+L189+L193+#REF!+L197+L201+L205+#REF!+L214+L218+L222+L226+L230+L234+L238+L242+L246+L250+L260+L264+L268+L272+#REF!+L276+L280+#REF!</f>
        <v>#REF!</v>
      </c>
      <c r="M285" s="1807" t="e">
        <f>M145+M157+M161+M165+M169+M173+M177+M181+M185+M189+M193+#REF!+M197+M201+M205+#REF!+M214+M218+M222+M226+M230+M234+M238+M242+M246+M250+M260+M264+M268+M272+#REF!+M276+M280+#REF!+M149</f>
        <v>#REF!</v>
      </c>
      <c r="N285" s="1808" t="e">
        <f>N145+N157+N161+N165+N169+N173+N177+N181+N185+N189+N193+#REF!+N197+N201+N205+#REF!+N214+N218+N222+N226+N230+N234+N238+N242+N246+N250+N260+N264+N268+N272+#REF!+N276+N280+#REF!+N149+#REF!+#REF!</f>
        <v>#REF!</v>
      </c>
      <c r="O285" s="974"/>
      <c r="P285" s="1039"/>
    </row>
    <row r="286" spans="1:40" ht="14.25" customHeight="1" thickBot="1" x14ac:dyDescent="0.35">
      <c r="A286" s="1036"/>
      <c r="B286" s="1037"/>
      <c r="C286" s="1802"/>
      <c r="D286" s="1802"/>
      <c r="E286" s="1802"/>
      <c r="F286" s="1802"/>
      <c r="G286" s="1802"/>
      <c r="H286" s="1802"/>
      <c r="I286" s="1802"/>
      <c r="J286" s="1802"/>
      <c r="K286" s="1802"/>
      <c r="L286" s="1803"/>
      <c r="M286" s="1802"/>
      <c r="N286" s="1803"/>
      <c r="O286" s="971"/>
      <c r="P286" s="1035"/>
      <c r="Q286" s="587"/>
      <c r="R286" s="587"/>
      <c r="S286" s="587"/>
      <c r="T286" s="587"/>
    </row>
    <row r="287" spans="1:40" ht="14.25" customHeight="1" thickBot="1" x14ac:dyDescent="0.35">
      <c r="A287" s="1036"/>
      <c r="B287" s="1037"/>
      <c r="C287" s="1802"/>
      <c r="D287" s="1802"/>
      <c r="E287" s="1802"/>
      <c r="F287" s="1802"/>
      <c r="G287" s="1802"/>
      <c r="H287" s="1802"/>
      <c r="I287" s="1802"/>
      <c r="J287" s="1802"/>
      <c r="K287" s="1802"/>
      <c r="L287" s="1803"/>
      <c r="M287" s="1802"/>
      <c r="N287" s="1803"/>
      <c r="O287" s="971"/>
      <c r="P287" s="1035"/>
      <c r="Q287" s="587"/>
      <c r="R287" s="587"/>
      <c r="S287" s="587"/>
      <c r="T287" s="587"/>
    </row>
    <row r="288" spans="1:40" ht="14.25" customHeight="1" x14ac:dyDescent="0.3">
      <c r="A288" s="2515" t="s">
        <v>347</v>
      </c>
      <c r="B288" s="2516"/>
      <c r="C288" s="1809"/>
      <c r="D288" s="1809"/>
      <c r="E288" s="1809"/>
      <c r="F288" s="1809"/>
      <c r="G288" s="1809"/>
      <c r="H288" s="1809"/>
      <c r="I288" s="1809"/>
      <c r="J288" s="1809"/>
      <c r="K288" s="1809"/>
      <c r="L288" s="1810"/>
      <c r="M288" s="1811"/>
      <c r="N288" s="1812"/>
      <c r="O288" s="971"/>
      <c r="P288" s="1035"/>
      <c r="Q288" s="587"/>
      <c r="R288" s="587"/>
      <c r="S288" s="587"/>
      <c r="T288" s="587"/>
    </row>
    <row r="289" spans="1:40" ht="14.25" customHeight="1" x14ac:dyDescent="0.3">
      <c r="A289" s="788" t="s">
        <v>230</v>
      </c>
      <c r="B289" s="1040" t="s">
        <v>2</v>
      </c>
      <c r="C289" s="1711"/>
      <c r="D289" s="1711"/>
      <c r="E289" s="1711"/>
      <c r="F289" s="1711"/>
      <c r="G289" s="1712"/>
      <c r="H289" s="1713"/>
      <c r="I289" s="1713"/>
      <c r="J289" s="1713"/>
      <c r="K289" s="1713"/>
      <c r="L289" s="1714"/>
      <c r="M289" s="1813"/>
      <c r="N289" s="1814"/>
      <c r="O289" s="747"/>
      <c r="P289" s="587"/>
      <c r="Q289" s="587"/>
      <c r="R289" s="587"/>
      <c r="S289" s="587"/>
      <c r="T289" s="587"/>
    </row>
    <row r="290" spans="1:40" ht="14.25" customHeight="1" thickBot="1" x14ac:dyDescent="0.35">
      <c r="A290" s="935"/>
      <c r="B290" s="787" t="s">
        <v>356</v>
      </c>
      <c r="C290" s="1711">
        <f>SUM('13.sz.melléklet'!C7)</f>
        <v>73851000</v>
      </c>
      <c r="D290" s="1711">
        <f>SUM('13.sz.melléklet'!D7)</f>
        <v>16174000</v>
      </c>
      <c r="E290" s="1711">
        <f>SUM('13.sz.melléklet'!E7)</f>
        <v>32103000</v>
      </c>
      <c r="F290" s="1711"/>
      <c r="G290" s="1712">
        <f>'13.sz.melléklet'!G19</f>
        <v>1000000</v>
      </c>
      <c r="H290" s="1713">
        <f>SUM('13.sz.melléklet'!F7)</f>
        <v>3749000</v>
      </c>
      <c r="I290" s="1713"/>
      <c r="J290" s="1713"/>
      <c r="K290" s="1713"/>
      <c r="L290" s="1714"/>
      <c r="M290" s="1713"/>
      <c r="N290" s="1815">
        <f>SUM(C290:M290)</f>
        <v>126877000</v>
      </c>
      <c r="O290" s="747"/>
      <c r="P290" s="587"/>
      <c r="Q290" s="587"/>
      <c r="R290" s="587"/>
      <c r="S290" s="587"/>
      <c r="T290" s="587"/>
    </row>
    <row r="291" spans="1:40" ht="0.15" customHeight="1" thickBot="1" x14ac:dyDescent="0.35">
      <c r="A291" s="585"/>
      <c r="B291" s="583" t="s">
        <v>357</v>
      </c>
      <c r="C291" s="1625">
        <f>'13.sz.melléklet'!C8</f>
        <v>73851288</v>
      </c>
      <c r="D291" s="1625">
        <f>'13.sz.melléklet'!D8</f>
        <v>16174077</v>
      </c>
      <c r="E291" s="1625">
        <f>'13.sz.melléklet'!E8</f>
        <v>32103000</v>
      </c>
      <c r="F291" s="1625"/>
      <c r="G291" s="1716">
        <f>SUM('13.sz.melléklet'!G57)</f>
        <v>0</v>
      </c>
      <c r="H291" s="1717">
        <f>SUM('13.sz.melléklet'!F57)</f>
        <v>3749000</v>
      </c>
      <c r="I291" s="1717"/>
      <c r="J291" s="1717"/>
      <c r="K291" s="1717"/>
      <c r="L291" s="1718"/>
      <c r="M291" s="1717"/>
      <c r="N291" s="1762">
        <f>SUM(C291:M291)</f>
        <v>125877365</v>
      </c>
      <c r="O291" s="747"/>
      <c r="P291" s="587"/>
      <c r="Q291" s="587"/>
      <c r="R291" s="587"/>
      <c r="S291" s="587"/>
      <c r="T291" s="587"/>
    </row>
    <row r="292" spans="1:40" s="783" customFormat="1" ht="0.15" customHeight="1" thickBot="1" x14ac:dyDescent="0.35">
      <c r="A292" s="1041"/>
      <c r="B292" s="802" t="s">
        <v>355</v>
      </c>
      <c r="C292" s="1631">
        <f>'13.sz.melléklet'!C9</f>
        <v>57231</v>
      </c>
      <c r="D292" s="1631">
        <f>'13.sz.melléklet'!D9</f>
        <v>16594</v>
      </c>
      <c r="E292" s="1631">
        <f>'13.sz.melléklet'!E9</f>
        <v>20040</v>
      </c>
      <c r="F292" s="1631"/>
      <c r="G292" s="1631">
        <f>SUM('13.sz.melléklet'!G58)</f>
        <v>0</v>
      </c>
      <c r="H292" s="1816">
        <f>SUM('13.sz.melléklet'!F58)</f>
        <v>2795</v>
      </c>
      <c r="I292" s="1816"/>
      <c r="J292" s="1816"/>
      <c r="K292" s="1816"/>
      <c r="L292" s="1817"/>
      <c r="M292" s="1818"/>
      <c r="N292" s="1819">
        <f>SUM(C292:M292)</f>
        <v>96660</v>
      </c>
      <c r="O292" s="782"/>
    </row>
    <row r="293" spans="1:40" ht="14.25" customHeight="1" thickBot="1" x14ac:dyDescent="0.35">
      <c r="A293" s="2527" t="s">
        <v>359</v>
      </c>
      <c r="B293" s="2528"/>
      <c r="C293" s="1820"/>
      <c r="D293" s="1820"/>
      <c r="E293" s="1820"/>
      <c r="F293" s="1820"/>
      <c r="G293" s="1820"/>
      <c r="H293" s="1820"/>
      <c r="I293" s="1820"/>
      <c r="J293" s="1820"/>
      <c r="K293" s="1820"/>
      <c r="L293" s="1821"/>
      <c r="M293" s="1820"/>
      <c r="N293" s="1822"/>
      <c r="O293" s="747"/>
      <c r="P293" s="1042"/>
      <c r="Q293" s="587"/>
      <c r="R293" s="587"/>
      <c r="S293" s="587"/>
      <c r="T293" s="587"/>
    </row>
    <row r="294" spans="1:40" ht="14.25" customHeight="1" thickBot="1" x14ac:dyDescent="0.35">
      <c r="A294" s="1250"/>
      <c r="B294" s="1251" t="s">
        <v>356</v>
      </c>
      <c r="C294" s="1823">
        <f t="shared" ref="C294:E296" si="13">C290</f>
        <v>73851000</v>
      </c>
      <c r="D294" s="1823">
        <f t="shared" si="13"/>
        <v>16174000</v>
      </c>
      <c r="E294" s="1823">
        <f t="shared" si="13"/>
        <v>32103000</v>
      </c>
      <c r="F294" s="1823"/>
      <c r="G294" s="1823">
        <f t="shared" ref="G294:H296" si="14">SUM(G290)</f>
        <v>1000000</v>
      </c>
      <c r="H294" s="1823">
        <f t="shared" si="14"/>
        <v>3749000</v>
      </c>
      <c r="I294" s="1823"/>
      <c r="J294" s="1823"/>
      <c r="K294" s="1823"/>
      <c r="L294" s="1823"/>
      <c r="M294" s="1823"/>
      <c r="N294" s="1824">
        <f>N290</f>
        <v>126877000</v>
      </c>
      <c r="O294" s="980"/>
      <c r="P294" s="1042"/>
      <c r="Q294" s="587"/>
      <c r="R294" s="587"/>
      <c r="S294" s="587"/>
      <c r="T294" s="587"/>
    </row>
    <row r="295" spans="1:40" ht="0.15" customHeight="1" thickBot="1" x14ac:dyDescent="0.35">
      <c r="A295" s="1248"/>
      <c r="B295" s="1249" t="s">
        <v>357</v>
      </c>
      <c r="C295" s="1825">
        <f t="shared" si="13"/>
        <v>73851288</v>
      </c>
      <c r="D295" s="1825">
        <f t="shared" si="13"/>
        <v>16174077</v>
      </c>
      <c r="E295" s="1825">
        <f t="shared" si="13"/>
        <v>32103000</v>
      </c>
      <c r="F295" s="1825"/>
      <c r="G295" s="1825">
        <f t="shared" si="14"/>
        <v>0</v>
      </c>
      <c r="H295" s="1825">
        <f t="shared" si="14"/>
        <v>3749000</v>
      </c>
      <c r="I295" s="1825"/>
      <c r="J295" s="1825"/>
      <c r="K295" s="1825"/>
      <c r="L295" s="1825"/>
      <c r="M295" s="1825"/>
      <c r="N295" s="1826">
        <f>N291</f>
        <v>125877365</v>
      </c>
      <c r="O295" s="747"/>
      <c r="P295" s="1042"/>
      <c r="Q295" s="587"/>
      <c r="R295" s="587"/>
      <c r="S295" s="587"/>
      <c r="T295" s="587"/>
    </row>
    <row r="296" spans="1:40" s="783" customFormat="1" ht="0.15" customHeight="1" x14ac:dyDescent="0.3">
      <c r="A296" s="1043"/>
      <c r="B296" s="1013" t="s">
        <v>355</v>
      </c>
      <c r="C296" s="1827">
        <f t="shared" si="13"/>
        <v>57231</v>
      </c>
      <c r="D296" s="1827">
        <f t="shared" si="13"/>
        <v>16594</v>
      </c>
      <c r="E296" s="1827">
        <f t="shared" si="13"/>
        <v>20040</v>
      </c>
      <c r="F296" s="1827"/>
      <c r="G296" s="1827">
        <f t="shared" si="14"/>
        <v>0</v>
      </c>
      <c r="H296" s="1827">
        <f t="shared" si="14"/>
        <v>2795</v>
      </c>
      <c r="I296" s="1827"/>
      <c r="J296" s="1827"/>
      <c r="K296" s="1827"/>
      <c r="L296" s="1827"/>
      <c r="M296" s="1827"/>
      <c r="N296" s="1828">
        <f>N292</f>
        <v>96660</v>
      </c>
      <c r="O296" s="782"/>
      <c r="P296" s="1044"/>
    </row>
    <row r="297" spans="1:40" ht="0.15" customHeight="1" thickBot="1" x14ac:dyDescent="0.35">
      <c r="A297" s="1045"/>
      <c r="B297" s="583"/>
      <c r="C297" s="1829"/>
      <c r="D297" s="1829"/>
      <c r="E297" s="1829"/>
      <c r="F297" s="1829"/>
      <c r="G297" s="1829"/>
      <c r="H297" s="1829"/>
      <c r="I297" s="1829"/>
      <c r="J297" s="1829"/>
      <c r="K297" s="1829"/>
      <c r="L297" s="1829"/>
      <c r="M297" s="1829"/>
      <c r="N297" s="1830"/>
      <c r="O297" s="747"/>
      <c r="P297" s="1042"/>
      <c r="Q297" s="587"/>
      <c r="R297" s="587"/>
      <c r="S297" s="587"/>
      <c r="T297" s="587"/>
    </row>
    <row r="298" spans="1:40" ht="14.25" customHeight="1" x14ac:dyDescent="0.3">
      <c r="A298" s="1046"/>
      <c r="B298" s="741"/>
      <c r="C298" s="1670"/>
      <c r="D298" s="1670"/>
      <c r="E298" s="1670"/>
      <c r="F298" s="1670"/>
      <c r="G298" s="1670"/>
      <c r="H298" s="1670"/>
      <c r="I298" s="1670"/>
      <c r="J298" s="1670"/>
      <c r="K298" s="1670"/>
      <c r="L298" s="1798"/>
      <c r="M298" s="1831"/>
      <c r="N298" s="1812"/>
      <c r="O298" s="1000"/>
      <c r="P298" s="1047"/>
    </row>
    <row r="299" spans="1:40" ht="14.25" customHeight="1" thickBot="1" x14ac:dyDescent="0.35">
      <c r="A299" s="2519" t="s">
        <v>179</v>
      </c>
      <c r="B299" s="2520"/>
      <c r="C299" s="1711"/>
      <c r="D299" s="1711"/>
      <c r="E299" s="1711"/>
      <c r="F299" s="1711"/>
      <c r="G299" s="1711"/>
      <c r="H299" s="1711"/>
      <c r="I299" s="1711"/>
      <c r="J299" s="1711"/>
      <c r="K299" s="1711"/>
      <c r="L299" s="1832"/>
      <c r="M299" s="1779"/>
      <c r="N299" s="1833"/>
      <c r="O299" s="1000"/>
      <c r="P299" s="1047"/>
    </row>
    <row r="300" spans="1:40" ht="14.25" customHeight="1" x14ac:dyDescent="0.3">
      <c r="A300" s="680" t="s">
        <v>241</v>
      </c>
      <c r="B300" s="681" t="s">
        <v>242</v>
      </c>
      <c r="C300" s="1737"/>
      <c r="D300" s="1737"/>
      <c r="E300" s="1737"/>
      <c r="F300" s="1654"/>
      <c r="G300" s="1654"/>
      <c r="H300" s="1654"/>
      <c r="I300" s="1654"/>
      <c r="J300" s="1654"/>
      <c r="K300" s="1654"/>
      <c r="L300" s="1834"/>
      <c r="M300" s="1797"/>
      <c r="N300" s="1799"/>
      <c r="O300" s="1000"/>
      <c r="P300" s="1047"/>
    </row>
    <row r="301" spans="1:40" s="744" customFormat="1" ht="14.25" customHeight="1" thickBot="1" x14ac:dyDescent="0.35">
      <c r="A301" s="582"/>
      <c r="B301" s="583" t="s">
        <v>356</v>
      </c>
      <c r="C301" s="1835">
        <f>SUM('16.sz. melléklet'!C7)</f>
        <v>0</v>
      </c>
      <c r="D301" s="1835">
        <f>SUM('16.sz. melléklet'!D7)</f>
        <v>0</v>
      </c>
      <c r="E301" s="1835">
        <f>SUM('16.sz. melléklet'!E7)</f>
        <v>0</v>
      </c>
      <c r="F301" s="1836"/>
      <c r="G301" s="1836"/>
      <c r="H301" s="1837">
        <f>SUM('16.sz. melléklet'!F7)</f>
        <v>0</v>
      </c>
      <c r="I301" s="1625"/>
      <c r="J301" s="1625"/>
      <c r="K301" s="1625"/>
      <c r="L301" s="1783"/>
      <c r="M301" s="1779"/>
      <c r="N301" s="1762">
        <f>SUM(C301:M301)</f>
        <v>0</v>
      </c>
      <c r="O301" s="1000"/>
      <c r="P301" s="1047"/>
      <c r="Q301" s="954"/>
      <c r="R301" s="954"/>
      <c r="S301" s="954"/>
      <c r="T301" s="954"/>
      <c r="U301" s="587"/>
      <c r="V301" s="587"/>
      <c r="W301" s="587"/>
      <c r="X301" s="587"/>
      <c r="Y301" s="587"/>
      <c r="Z301" s="587"/>
      <c r="AA301" s="587"/>
      <c r="AB301" s="587"/>
      <c r="AC301" s="587"/>
      <c r="AD301" s="587"/>
      <c r="AE301" s="587"/>
      <c r="AF301" s="587"/>
      <c r="AG301" s="587"/>
      <c r="AH301" s="587"/>
      <c r="AI301" s="587"/>
      <c r="AJ301" s="587"/>
      <c r="AK301" s="587"/>
      <c r="AL301" s="587"/>
      <c r="AM301" s="587"/>
      <c r="AN301" s="587"/>
    </row>
    <row r="302" spans="1:40" ht="0.15" customHeight="1" thickBot="1" x14ac:dyDescent="0.35">
      <c r="A302" s="1238"/>
      <c r="B302" s="938" t="s">
        <v>357</v>
      </c>
      <c r="C302" s="1648">
        <f>SUM('16.sz. melléklet'!C8)</f>
        <v>168</v>
      </c>
      <c r="D302" s="1648">
        <f>SUM('16.sz. melléklet'!D8)</f>
        <v>45</v>
      </c>
      <c r="E302" s="1648">
        <f>SUM('16.sz. melléklet'!E8)</f>
        <v>0</v>
      </c>
      <c r="F302" s="1838"/>
      <c r="G302" s="1838"/>
      <c r="H302" s="1839">
        <f>SUM('16.sz. melléklet'!F8)</f>
        <v>0</v>
      </c>
      <c r="I302" s="1628"/>
      <c r="J302" s="1628"/>
      <c r="K302" s="1628"/>
      <c r="L302" s="1784"/>
      <c r="M302" s="1780"/>
      <c r="N302" s="1765">
        <f>SUM(C302:M302)</f>
        <v>213</v>
      </c>
      <c r="O302" s="1000"/>
      <c r="P302" s="1047"/>
    </row>
    <row r="303" spans="1:40" s="783" customFormat="1" ht="0.15" customHeight="1" x14ac:dyDescent="0.3">
      <c r="A303" s="791"/>
      <c r="B303" s="792" t="s">
        <v>355</v>
      </c>
      <c r="C303" s="1649"/>
      <c r="D303" s="1649"/>
      <c r="E303" s="1649"/>
      <c r="F303" s="1840"/>
      <c r="G303" s="1840"/>
      <c r="H303" s="1840"/>
      <c r="I303" s="1631"/>
      <c r="J303" s="1631"/>
      <c r="K303" s="1631"/>
      <c r="L303" s="1785"/>
      <c r="M303" s="1781"/>
      <c r="N303" s="1768">
        <f>SUM(C303:M303)</f>
        <v>0</v>
      </c>
      <c r="O303" s="998"/>
      <c r="P303" s="1048"/>
      <c r="Q303" s="976"/>
      <c r="R303" s="976"/>
      <c r="S303" s="976"/>
      <c r="T303" s="976"/>
    </row>
    <row r="304" spans="1:40" ht="14.25" customHeight="1" x14ac:dyDescent="0.3">
      <c r="A304" s="684" t="s">
        <v>249</v>
      </c>
      <c r="B304" s="586" t="s">
        <v>250</v>
      </c>
      <c r="C304" s="1769"/>
      <c r="D304" s="1769"/>
      <c r="E304" s="1769"/>
      <c r="F304" s="1769"/>
      <c r="G304" s="1769"/>
      <c r="H304" s="1769"/>
      <c r="I304" s="1769"/>
      <c r="J304" s="1769"/>
      <c r="K304" s="1769"/>
      <c r="L304" s="1770"/>
      <c r="M304" s="1769"/>
      <c r="N304" s="1771"/>
      <c r="O304" s="747"/>
      <c r="P304" s="587"/>
      <c r="Q304" s="587"/>
      <c r="R304" s="587"/>
      <c r="S304" s="587"/>
      <c r="T304" s="587"/>
    </row>
    <row r="305" spans="1:40" s="744" customFormat="1" ht="14.25" customHeight="1" thickBot="1" x14ac:dyDescent="0.35">
      <c r="A305" s="745"/>
      <c r="B305" s="583" t="s">
        <v>356</v>
      </c>
      <c r="C305" s="1760"/>
      <c r="D305" s="1760"/>
      <c r="E305" s="1760"/>
      <c r="F305" s="1760"/>
      <c r="G305" s="1760"/>
      <c r="H305" s="1760"/>
      <c r="I305" s="1760">
        <f>SUM('6. sz.melléklet'!I25)</f>
        <v>516000</v>
      </c>
      <c r="J305" s="1760"/>
      <c r="K305" s="1760"/>
      <c r="L305" s="1761"/>
      <c r="M305" s="1760"/>
      <c r="N305" s="1762">
        <f>SUM(C305:M305)</f>
        <v>516000</v>
      </c>
      <c r="O305" s="747"/>
      <c r="P305" s="587"/>
      <c r="Q305" s="587"/>
      <c r="R305" s="587"/>
      <c r="S305" s="587"/>
      <c r="T305" s="587"/>
      <c r="U305" s="587"/>
      <c r="V305" s="587"/>
      <c r="W305" s="587"/>
      <c r="X305" s="587"/>
      <c r="Y305" s="587"/>
      <c r="Z305" s="587"/>
      <c r="AA305" s="587"/>
      <c r="AB305" s="587"/>
      <c r="AC305" s="587"/>
      <c r="AD305" s="587"/>
      <c r="AE305" s="587"/>
      <c r="AF305" s="587"/>
      <c r="AG305" s="587"/>
      <c r="AH305" s="587"/>
      <c r="AI305" s="587"/>
      <c r="AJ305" s="587"/>
      <c r="AK305" s="587"/>
      <c r="AL305" s="587"/>
      <c r="AM305" s="587"/>
      <c r="AN305" s="587"/>
    </row>
    <row r="306" spans="1:40" ht="0.15" customHeight="1" thickBot="1" x14ac:dyDescent="0.35">
      <c r="A306" s="1245"/>
      <c r="B306" s="938" t="s">
        <v>357</v>
      </c>
      <c r="C306" s="1763">
        <f>SUM('6. sz.melléklet'!C26)</f>
        <v>0</v>
      </c>
      <c r="D306" s="1763">
        <f>SUM('6. sz.melléklet'!D26)</f>
        <v>0</v>
      </c>
      <c r="E306" s="1763">
        <f>SUM('6. sz.melléklet'!E26)</f>
        <v>0</v>
      </c>
      <c r="F306" s="1763"/>
      <c r="G306" s="1763"/>
      <c r="H306" s="1763"/>
      <c r="I306" s="1763">
        <f>SUM('6. sz.melléklet'!I26)</f>
        <v>0</v>
      </c>
      <c r="J306" s="1763"/>
      <c r="K306" s="1763"/>
      <c r="L306" s="1764"/>
      <c r="M306" s="1763"/>
      <c r="N306" s="1765">
        <f>SUM(C306:M306)</f>
        <v>0</v>
      </c>
      <c r="O306" s="747"/>
      <c r="P306" s="587"/>
      <c r="Q306" s="587"/>
      <c r="R306" s="587"/>
      <c r="S306" s="587"/>
      <c r="T306" s="587"/>
    </row>
    <row r="307" spans="1:40" s="783" customFormat="1" ht="0.15" customHeight="1" x14ac:dyDescent="0.3">
      <c r="A307" s="799"/>
      <c r="B307" s="792" t="s">
        <v>355</v>
      </c>
      <c r="C307" s="1766"/>
      <c r="D307" s="1766"/>
      <c r="E307" s="1766"/>
      <c r="F307" s="1766"/>
      <c r="G307" s="1766"/>
      <c r="H307" s="1766"/>
      <c r="I307" s="1766"/>
      <c r="J307" s="1766"/>
      <c r="K307" s="1766"/>
      <c r="L307" s="1767"/>
      <c r="M307" s="1766"/>
      <c r="N307" s="1768">
        <f>SUM(C307:M307)</f>
        <v>0</v>
      </c>
      <c r="O307" s="782"/>
    </row>
    <row r="308" spans="1:40" ht="14.25" customHeight="1" x14ac:dyDescent="0.3">
      <c r="A308" s="580" t="s">
        <v>243</v>
      </c>
      <c r="B308" s="685" t="s">
        <v>244</v>
      </c>
      <c r="C308" s="1841"/>
      <c r="D308" s="1841"/>
      <c r="E308" s="1841"/>
      <c r="F308" s="1769"/>
      <c r="G308" s="1769"/>
      <c r="H308" s="1769"/>
      <c r="I308" s="1769"/>
      <c r="J308" s="1769"/>
      <c r="K308" s="1769"/>
      <c r="L308" s="1770"/>
      <c r="M308" s="1769"/>
      <c r="N308" s="1771"/>
      <c r="O308" s="747"/>
      <c r="P308" s="587"/>
      <c r="Q308" s="587"/>
      <c r="R308" s="587"/>
      <c r="S308" s="587"/>
      <c r="T308" s="587"/>
    </row>
    <row r="309" spans="1:40" s="744" customFormat="1" ht="14.25" customHeight="1" thickBot="1" x14ac:dyDescent="0.35">
      <c r="A309" s="582"/>
      <c r="B309" s="583" t="s">
        <v>356</v>
      </c>
      <c r="C309" s="1835">
        <f>SUM('16.sz. melléklet'!C11)</f>
        <v>1752000</v>
      </c>
      <c r="D309" s="1835">
        <f>SUM('16.sz. melléklet'!D11)</f>
        <v>250000</v>
      </c>
      <c r="E309" s="1835">
        <f>SUM('16.sz. melléklet'!E11)</f>
        <v>26000</v>
      </c>
      <c r="F309" s="1760"/>
      <c r="G309" s="1760"/>
      <c r="H309" s="1760"/>
      <c r="I309" s="1760"/>
      <c r="J309" s="1760"/>
      <c r="K309" s="1760"/>
      <c r="L309" s="1761"/>
      <c r="M309" s="1760"/>
      <c r="N309" s="1762">
        <f>SUM(C309:M309)</f>
        <v>2028000</v>
      </c>
      <c r="O309" s="747"/>
      <c r="P309" s="587"/>
      <c r="Q309" s="587"/>
      <c r="R309" s="587"/>
      <c r="S309" s="587"/>
      <c r="T309" s="587"/>
      <c r="U309" s="587"/>
      <c r="V309" s="587"/>
      <c r="W309" s="587"/>
      <c r="X309" s="587"/>
      <c r="Y309" s="587"/>
      <c r="Z309" s="587"/>
      <c r="AA309" s="587"/>
      <c r="AB309" s="587"/>
      <c r="AC309" s="587"/>
      <c r="AD309" s="587"/>
      <c r="AE309" s="587"/>
      <c r="AF309" s="587"/>
      <c r="AG309" s="587"/>
      <c r="AH309" s="587"/>
      <c r="AI309" s="587"/>
      <c r="AJ309" s="587"/>
      <c r="AK309" s="587"/>
      <c r="AL309" s="587"/>
      <c r="AM309" s="587"/>
      <c r="AN309" s="587"/>
    </row>
    <row r="310" spans="1:40" ht="0.15" customHeight="1" thickBot="1" x14ac:dyDescent="0.35">
      <c r="A310" s="1238"/>
      <c r="B310" s="938" t="s">
        <v>357</v>
      </c>
      <c r="C310" s="1648">
        <f>SUM('16.sz. melléklet'!C12)</f>
        <v>1759124</v>
      </c>
      <c r="D310" s="1648">
        <f>SUM('16.sz. melléklet'!D12)</f>
        <v>250962</v>
      </c>
      <c r="E310" s="1642"/>
      <c r="F310" s="1763"/>
      <c r="G310" s="1763"/>
      <c r="H310" s="1763"/>
      <c r="I310" s="1763"/>
      <c r="J310" s="1763"/>
      <c r="K310" s="1763"/>
      <c r="L310" s="1764"/>
      <c r="M310" s="1763"/>
      <c r="N310" s="1765">
        <f>SUM(C310:M310)</f>
        <v>2010086</v>
      </c>
      <c r="O310" s="747"/>
      <c r="P310" s="587"/>
      <c r="Q310" s="587"/>
      <c r="R310" s="587"/>
      <c r="S310" s="587"/>
      <c r="T310" s="587"/>
    </row>
    <row r="311" spans="1:40" s="783" customFormat="1" ht="0.15" customHeight="1" x14ac:dyDescent="0.3">
      <c r="A311" s="791"/>
      <c r="B311" s="792" t="s">
        <v>355</v>
      </c>
      <c r="C311" s="1645"/>
      <c r="D311" s="1645"/>
      <c r="E311" s="1645"/>
      <c r="F311" s="1766"/>
      <c r="G311" s="1766"/>
      <c r="H311" s="1766"/>
      <c r="I311" s="1766"/>
      <c r="J311" s="1766"/>
      <c r="K311" s="1766"/>
      <c r="L311" s="1767"/>
      <c r="M311" s="1766"/>
      <c r="N311" s="1768">
        <f>SUM(C311:M311)</f>
        <v>0</v>
      </c>
      <c r="O311" s="782"/>
    </row>
    <row r="312" spans="1:40" ht="14.25" customHeight="1" x14ac:dyDescent="0.3">
      <c r="A312" s="684" t="s">
        <v>251</v>
      </c>
      <c r="B312" s="586" t="s">
        <v>252</v>
      </c>
      <c r="C312" s="1769"/>
      <c r="D312" s="1769"/>
      <c r="E312" s="1769"/>
      <c r="F312" s="1769"/>
      <c r="G312" s="1769"/>
      <c r="H312" s="1769"/>
      <c r="I312" s="1769"/>
      <c r="J312" s="1769"/>
      <c r="K312" s="1769"/>
      <c r="L312" s="1770"/>
      <c r="M312" s="1769"/>
      <c r="N312" s="1771"/>
      <c r="O312" s="747"/>
      <c r="P312" s="587"/>
      <c r="Q312" s="587"/>
      <c r="R312" s="587"/>
      <c r="S312" s="587"/>
      <c r="T312" s="587"/>
    </row>
    <row r="313" spans="1:40" s="744" customFormat="1" ht="14.25" customHeight="1" thickBot="1" x14ac:dyDescent="0.35">
      <c r="A313" s="745"/>
      <c r="B313" s="583" t="s">
        <v>356</v>
      </c>
      <c r="C313" s="1760">
        <f>SUM('6. sz.melléklet'!C29)</f>
        <v>10215000</v>
      </c>
      <c r="D313" s="1760">
        <f>SUM('6. sz.melléklet'!D29)</f>
        <v>2238000</v>
      </c>
      <c r="E313" s="1760">
        <f>SUM('6. sz.melléklet'!E29)</f>
        <v>6822000</v>
      </c>
      <c r="F313" s="1760"/>
      <c r="G313" s="1760"/>
      <c r="H313" s="1760"/>
      <c r="I313" s="1760"/>
      <c r="J313" s="1760"/>
      <c r="K313" s="1760"/>
      <c r="L313" s="1761"/>
      <c r="M313" s="1760"/>
      <c r="N313" s="1762">
        <f>SUM(C313:M313)</f>
        <v>19275000</v>
      </c>
      <c r="O313" s="747"/>
      <c r="P313" s="587"/>
      <c r="Q313" s="587"/>
      <c r="R313" s="587"/>
      <c r="S313" s="587"/>
      <c r="T313" s="587"/>
      <c r="U313" s="587"/>
      <c r="V313" s="587"/>
      <c r="W313" s="587"/>
      <c r="X313" s="587"/>
      <c r="Y313" s="587"/>
      <c r="Z313" s="587"/>
      <c r="AA313" s="587"/>
      <c r="AB313" s="587"/>
      <c r="AC313" s="587"/>
      <c r="AD313" s="587"/>
      <c r="AE313" s="587"/>
      <c r="AF313" s="587"/>
      <c r="AG313" s="587"/>
      <c r="AH313" s="587"/>
      <c r="AI313" s="587"/>
      <c r="AJ313" s="587"/>
      <c r="AK313" s="587"/>
      <c r="AL313" s="587"/>
      <c r="AM313" s="587"/>
      <c r="AN313" s="587"/>
    </row>
    <row r="314" spans="1:40" ht="0.15" customHeight="1" thickBot="1" x14ac:dyDescent="0.35">
      <c r="A314" s="1245"/>
      <c r="B314" s="938" t="s">
        <v>357</v>
      </c>
      <c r="C314" s="1763">
        <f>SUM('6. sz.melléklet'!C30)</f>
        <v>10215082</v>
      </c>
      <c r="D314" s="1763">
        <f>SUM('6. sz.melléklet'!D30)</f>
        <v>2238023</v>
      </c>
      <c r="E314" s="1763">
        <f>SUM('6. sz.melléklet'!E30)</f>
        <v>6822000</v>
      </c>
      <c r="F314" s="1763"/>
      <c r="G314" s="1763"/>
      <c r="H314" s="1763"/>
      <c r="I314" s="1763"/>
      <c r="J314" s="1763"/>
      <c r="K314" s="1763"/>
      <c r="L314" s="1764"/>
      <c r="M314" s="1763"/>
      <c r="N314" s="1765">
        <f>SUM(C314:M314)</f>
        <v>19275105</v>
      </c>
      <c r="O314" s="747"/>
      <c r="P314" s="587"/>
      <c r="Q314" s="587"/>
      <c r="R314" s="587"/>
      <c r="S314" s="587"/>
      <c r="T314" s="587"/>
    </row>
    <row r="315" spans="1:40" s="783" customFormat="1" ht="0.15" customHeight="1" x14ac:dyDescent="0.3">
      <c r="A315" s="799"/>
      <c r="B315" s="792" t="s">
        <v>355</v>
      </c>
      <c r="C315" s="1766"/>
      <c r="D315" s="1766"/>
      <c r="E315" s="1766"/>
      <c r="F315" s="1766"/>
      <c r="G315" s="1766"/>
      <c r="H315" s="1766"/>
      <c r="I315" s="1766"/>
      <c r="J315" s="1766"/>
      <c r="K315" s="1766"/>
      <c r="L315" s="1767"/>
      <c r="M315" s="1766"/>
      <c r="N315" s="1768">
        <f>SUM(C315:M315)</f>
        <v>0</v>
      </c>
      <c r="O315" s="782"/>
    </row>
    <row r="316" spans="1:40" ht="14.25" customHeight="1" x14ac:dyDescent="0.3">
      <c r="A316" s="684" t="s">
        <v>274</v>
      </c>
      <c r="B316" s="586" t="s">
        <v>275</v>
      </c>
      <c r="C316" s="1769"/>
      <c r="D316" s="1769"/>
      <c r="E316" s="1769"/>
      <c r="F316" s="1769"/>
      <c r="G316" s="1769"/>
      <c r="H316" s="1769"/>
      <c r="I316" s="1769"/>
      <c r="J316" s="1769"/>
      <c r="K316" s="1769"/>
      <c r="L316" s="1770"/>
      <c r="M316" s="1769"/>
      <c r="N316" s="1771"/>
      <c r="O316" s="747"/>
      <c r="P316" s="587"/>
      <c r="Q316" s="587"/>
      <c r="R316" s="587"/>
      <c r="S316" s="587"/>
      <c r="T316" s="587"/>
    </row>
    <row r="317" spans="1:40" s="744" customFormat="1" ht="14.25" customHeight="1" thickBot="1" x14ac:dyDescent="0.35">
      <c r="A317" s="745"/>
      <c r="B317" s="583" t="s">
        <v>356</v>
      </c>
      <c r="C317" s="1760"/>
      <c r="D317" s="1760"/>
      <c r="E317" s="1760">
        <f>SUM('6. sz.melléklet'!E33)</f>
        <v>4572000</v>
      </c>
      <c r="F317" s="1760"/>
      <c r="G317" s="1760"/>
      <c r="H317" s="1760"/>
      <c r="I317" s="1760"/>
      <c r="J317" s="1760"/>
      <c r="K317" s="1760"/>
      <c r="L317" s="1761"/>
      <c r="M317" s="1760"/>
      <c r="N317" s="1762">
        <f>SUM(C317:M317)</f>
        <v>4572000</v>
      </c>
      <c r="O317" s="747"/>
      <c r="P317" s="587"/>
      <c r="Q317" s="587"/>
      <c r="R317" s="587"/>
      <c r="S317" s="587"/>
      <c r="T317" s="587"/>
      <c r="U317" s="587"/>
      <c r="V317" s="587"/>
      <c r="W317" s="587"/>
      <c r="X317" s="587"/>
      <c r="Y317" s="587"/>
      <c r="Z317" s="587"/>
      <c r="AA317" s="587"/>
      <c r="AB317" s="587"/>
      <c r="AC317" s="587"/>
      <c r="AD317" s="587"/>
      <c r="AE317" s="587"/>
      <c r="AF317" s="587"/>
      <c r="AG317" s="587"/>
      <c r="AH317" s="587"/>
      <c r="AI317" s="587"/>
      <c r="AJ317" s="587"/>
      <c r="AK317" s="587"/>
      <c r="AL317" s="587"/>
      <c r="AM317" s="587"/>
      <c r="AN317" s="587"/>
    </row>
    <row r="318" spans="1:40" ht="0.15" customHeight="1" thickBot="1" x14ac:dyDescent="0.35">
      <c r="A318" s="1245"/>
      <c r="B318" s="938" t="s">
        <v>357</v>
      </c>
      <c r="C318" s="1763"/>
      <c r="D318" s="1763"/>
      <c r="E318" s="1763">
        <f>SUM('6. sz.melléklet'!E34)</f>
        <v>4572000</v>
      </c>
      <c r="F318" s="1763"/>
      <c r="G318" s="1763"/>
      <c r="H318" s="1763"/>
      <c r="I318" s="1763"/>
      <c r="J318" s="1763"/>
      <c r="K318" s="1763"/>
      <c r="L318" s="1764"/>
      <c r="M318" s="1763"/>
      <c r="N318" s="1765">
        <f>SUM(C318:M318)</f>
        <v>4572000</v>
      </c>
      <c r="O318" s="747"/>
      <c r="P318" s="587"/>
      <c r="Q318" s="587"/>
      <c r="R318" s="587"/>
      <c r="S318" s="587"/>
      <c r="T318" s="587"/>
    </row>
    <row r="319" spans="1:40" s="783" customFormat="1" ht="0.15" customHeight="1" x14ac:dyDescent="0.3">
      <c r="A319" s="799"/>
      <c r="B319" s="792" t="s">
        <v>355</v>
      </c>
      <c r="C319" s="1766"/>
      <c r="D319" s="1766"/>
      <c r="E319" s="1766"/>
      <c r="F319" s="1766"/>
      <c r="G319" s="1766"/>
      <c r="H319" s="1766"/>
      <c r="I319" s="1766"/>
      <c r="J319" s="1766"/>
      <c r="K319" s="1766"/>
      <c r="L319" s="1767"/>
      <c r="M319" s="1766"/>
      <c r="N319" s="1768">
        <f>SUM(C319:M319)</f>
        <v>0</v>
      </c>
      <c r="O319" s="782"/>
    </row>
    <row r="320" spans="1:40" ht="14.25" customHeight="1" x14ac:dyDescent="0.3">
      <c r="A320" s="584" t="s">
        <v>253</v>
      </c>
      <c r="B320" s="581" t="s">
        <v>254</v>
      </c>
      <c r="C320" s="1622"/>
      <c r="D320" s="1622"/>
      <c r="E320" s="1622"/>
      <c r="F320" s="1622"/>
      <c r="G320" s="1622"/>
      <c r="H320" s="1622"/>
      <c r="I320" s="1778"/>
      <c r="J320" s="1778"/>
      <c r="K320" s="1778"/>
      <c r="L320" s="1782"/>
      <c r="M320" s="1778"/>
      <c r="N320" s="1771"/>
      <c r="O320" s="747"/>
      <c r="P320" s="587"/>
      <c r="Q320" s="587"/>
      <c r="R320" s="587"/>
      <c r="S320" s="587"/>
      <c r="T320" s="587"/>
    </row>
    <row r="321" spans="1:40" s="744" customFormat="1" ht="14.25" customHeight="1" thickBot="1" x14ac:dyDescent="0.35">
      <c r="A321" s="585"/>
      <c r="B321" s="583" t="s">
        <v>356</v>
      </c>
      <c r="C321" s="1625">
        <f>SUM('6. sz.melléklet'!C37)</f>
        <v>480000</v>
      </c>
      <c r="D321" s="1625">
        <f>SUM('6. sz.melléklet'!D37)</f>
        <v>95000</v>
      </c>
      <c r="E321" s="1625">
        <f>SUM('6. sz.melléklet'!E37)</f>
        <v>1524000</v>
      </c>
      <c r="F321" s="1625"/>
      <c r="G321" s="1625"/>
      <c r="H321" s="1625"/>
      <c r="I321" s="1779"/>
      <c r="J321" s="1779"/>
      <c r="K321" s="1779"/>
      <c r="L321" s="1783"/>
      <c r="M321" s="1779"/>
      <c r="N321" s="1762">
        <f>SUM(C321:M321)</f>
        <v>2099000</v>
      </c>
      <c r="O321" s="747"/>
      <c r="P321" s="587"/>
      <c r="Q321" s="587"/>
      <c r="R321" s="587"/>
      <c r="S321" s="587"/>
      <c r="T321" s="587"/>
      <c r="U321" s="587"/>
      <c r="V321" s="587"/>
      <c r="W321" s="587"/>
      <c r="X321" s="587"/>
      <c r="Y321" s="587"/>
      <c r="Z321" s="587"/>
      <c r="AA321" s="587"/>
      <c r="AB321" s="587"/>
      <c r="AC321" s="587"/>
      <c r="AD321" s="587"/>
      <c r="AE321" s="587"/>
      <c r="AF321" s="587"/>
      <c r="AG321" s="587"/>
      <c r="AH321" s="587"/>
      <c r="AI321" s="587"/>
      <c r="AJ321" s="587"/>
      <c r="AK321" s="587"/>
      <c r="AL321" s="587"/>
      <c r="AM321" s="587"/>
      <c r="AN321" s="587"/>
    </row>
    <row r="322" spans="1:40" ht="0.15" customHeight="1" thickBot="1" x14ac:dyDescent="0.35">
      <c r="A322" s="937"/>
      <c r="B322" s="938" t="s">
        <v>357</v>
      </c>
      <c r="C322" s="1628">
        <f>SUM('6. sz.melléklet'!C38)</f>
        <v>480000</v>
      </c>
      <c r="D322" s="1628">
        <f>SUM('6. sz.melléklet'!D38)</f>
        <v>95000</v>
      </c>
      <c r="E322" s="1628">
        <f>SUM('6. sz.melléklet'!E38)</f>
        <v>1524000</v>
      </c>
      <c r="F322" s="1628"/>
      <c r="G322" s="1628"/>
      <c r="H322" s="1628"/>
      <c r="I322" s="1780"/>
      <c r="J322" s="1780"/>
      <c r="K322" s="1780"/>
      <c r="L322" s="1784"/>
      <c r="M322" s="1780"/>
      <c r="N322" s="1765">
        <f>SUM(C322:M322)</f>
        <v>2099000</v>
      </c>
      <c r="O322" s="747"/>
      <c r="P322" s="587"/>
      <c r="Q322" s="587"/>
      <c r="R322" s="587"/>
      <c r="S322" s="587"/>
      <c r="T322" s="587"/>
    </row>
    <row r="323" spans="1:40" s="783" customFormat="1" ht="0.15" customHeight="1" x14ac:dyDescent="0.3">
      <c r="A323" s="793"/>
      <c r="B323" s="792" t="s">
        <v>355</v>
      </c>
      <c r="C323" s="1631"/>
      <c r="D323" s="1631"/>
      <c r="E323" s="1631"/>
      <c r="F323" s="1631"/>
      <c r="G323" s="1631"/>
      <c r="H323" s="1631"/>
      <c r="I323" s="1781"/>
      <c r="J323" s="1781"/>
      <c r="K323" s="1781"/>
      <c r="L323" s="1785"/>
      <c r="M323" s="1781"/>
      <c r="N323" s="1768">
        <f>SUM(C323:M323)</f>
        <v>0</v>
      </c>
      <c r="O323" s="782"/>
    </row>
    <row r="324" spans="1:40" ht="14.25" customHeight="1" x14ac:dyDescent="0.3">
      <c r="A324" s="584" t="s">
        <v>435</v>
      </c>
      <c r="B324" s="581" t="s">
        <v>436</v>
      </c>
      <c r="C324" s="1622"/>
      <c r="D324" s="1622"/>
      <c r="E324" s="1622"/>
      <c r="F324" s="1622"/>
      <c r="G324" s="1622"/>
      <c r="H324" s="1622"/>
      <c r="I324" s="1778"/>
      <c r="J324" s="1778"/>
      <c r="K324" s="1778"/>
      <c r="L324" s="1782"/>
      <c r="M324" s="1778"/>
      <c r="N324" s="1771"/>
      <c r="O324" s="747"/>
      <c r="P324" s="587"/>
      <c r="Q324" s="587"/>
      <c r="R324" s="587"/>
      <c r="S324" s="587"/>
      <c r="T324" s="587"/>
    </row>
    <row r="325" spans="1:40" s="744" customFormat="1" ht="15" customHeight="1" thickBot="1" x14ac:dyDescent="0.35">
      <c r="A325" s="585"/>
      <c r="B325" s="583" t="s">
        <v>356</v>
      </c>
      <c r="C325" s="1625">
        <f>SUM('6. sz.melléklet'!C119)</f>
        <v>24000</v>
      </c>
      <c r="D325" s="1625"/>
      <c r="E325" s="1625"/>
      <c r="F325" s="1625"/>
      <c r="G325" s="1625"/>
      <c r="H325" s="1625"/>
      <c r="I325" s="1779"/>
      <c r="J325" s="1779"/>
      <c r="K325" s="1779"/>
      <c r="L325" s="1783"/>
      <c r="M325" s="1779"/>
      <c r="N325" s="1762">
        <f>SUM(C325:M325)</f>
        <v>24000</v>
      </c>
      <c r="O325" s="747"/>
      <c r="P325" s="587"/>
      <c r="Q325" s="587"/>
      <c r="R325" s="587"/>
      <c r="S325" s="587"/>
      <c r="T325" s="587"/>
      <c r="U325" s="587"/>
      <c r="V325" s="587"/>
      <c r="W325" s="587"/>
      <c r="X325" s="587"/>
      <c r="Y325" s="587"/>
      <c r="Z325" s="587"/>
      <c r="AA325" s="587"/>
      <c r="AB325" s="587"/>
      <c r="AC325" s="587"/>
      <c r="AD325" s="587"/>
      <c r="AE325" s="587"/>
      <c r="AF325" s="587"/>
      <c r="AG325" s="587"/>
      <c r="AH325" s="587"/>
      <c r="AI325" s="587"/>
      <c r="AJ325" s="587"/>
      <c r="AK325" s="587"/>
      <c r="AL325" s="587"/>
      <c r="AM325" s="587"/>
      <c r="AN325" s="587"/>
    </row>
    <row r="326" spans="1:40" ht="0.15" customHeight="1" thickBot="1" x14ac:dyDescent="0.35">
      <c r="A326" s="937"/>
      <c r="B326" s="938" t="s">
        <v>357</v>
      </c>
      <c r="C326" s="1628">
        <f>SUM('6. sz.melléklet'!C120)</f>
        <v>24000</v>
      </c>
      <c r="D326" s="1628"/>
      <c r="E326" s="1628"/>
      <c r="F326" s="1628"/>
      <c r="G326" s="1628"/>
      <c r="H326" s="1628"/>
      <c r="I326" s="1780"/>
      <c r="J326" s="1780"/>
      <c r="K326" s="1780"/>
      <c r="L326" s="1784"/>
      <c r="M326" s="1780"/>
      <c r="N326" s="1765">
        <f>SUM(C326:M326)</f>
        <v>24000</v>
      </c>
      <c r="O326" s="747"/>
      <c r="P326" s="587"/>
      <c r="Q326" s="587"/>
      <c r="R326" s="587"/>
      <c r="S326" s="587"/>
      <c r="T326" s="587"/>
    </row>
    <row r="327" spans="1:40" s="783" customFormat="1" ht="0.15" customHeight="1" thickBot="1" x14ac:dyDescent="0.35">
      <c r="A327" s="801"/>
      <c r="B327" s="802" t="s">
        <v>355</v>
      </c>
      <c r="C327" s="1720">
        <v>16</v>
      </c>
      <c r="D327" s="1720"/>
      <c r="E327" s="1720"/>
      <c r="F327" s="1720"/>
      <c r="G327" s="1720"/>
      <c r="H327" s="1720"/>
      <c r="I327" s="1842"/>
      <c r="J327" s="1842"/>
      <c r="K327" s="1842"/>
      <c r="L327" s="1843"/>
      <c r="M327" s="1801"/>
      <c r="N327" s="1819">
        <f>SUM(C327:M327)</f>
        <v>16</v>
      </c>
      <c r="O327" s="782"/>
    </row>
    <row r="328" spans="1:40" s="783" customFormat="1" ht="12" customHeight="1" thickBot="1" x14ac:dyDescent="0.35">
      <c r="A328" s="1237"/>
      <c r="B328" s="1013"/>
      <c r="C328" s="1651"/>
      <c r="D328" s="1651"/>
      <c r="E328" s="1651"/>
      <c r="F328" s="1651"/>
      <c r="G328" s="1651"/>
      <c r="H328" s="1651"/>
      <c r="I328" s="1800"/>
      <c r="J328" s="1800"/>
      <c r="K328" s="1800"/>
      <c r="L328" s="1801"/>
      <c r="M328" s="1801"/>
      <c r="N328" s="1819"/>
    </row>
    <row r="329" spans="1:40" ht="21" customHeight="1" thickBot="1" x14ac:dyDescent="0.35">
      <c r="A329" s="1051" t="s">
        <v>358</v>
      </c>
      <c r="B329" s="1256"/>
      <c r="C329" s="1697"/>
      <c r="D329" s="1697"/>
      <c r="E329" s="1697"/>
      <c r="F329" s="1697"/>
      <c r="G329" s="1697"/>
      <c r="H329" s="1697"/>
      <c r="I329" s="1697"/>
      <c r="J329" s="1697"/>
      <c r="K329" s="1697"/>
      <c r="L329" s="1698"/>
      <c r="M329" s="1694"/>
      <c r="N329" s="1844"/>
      <c r="O329" s="1012"/>
      <c r="P329" s="1049"/>
      <c r="R329" s="1050"/>
    </row>
    <row r="330" spans="1:40" ht="14.25" customHeight="1" thickBot="1" x14ac:dyDescent="0.35">
      <c r="A330" s="1051"/>
      <c r="B330" s="1004" t="s">
        <v>356</v>
      </c>
      <c r="C330" s="1697">
        <f>C301+C305+C309+C313+C317+C321+C325</f>
        <v>12471000</v>
      </c>
      <c r="D330" s="1697">
        <f t="shared" ref="D330:N330" si="15">D301+D305+D309+D313+D317+D321+D325</f>
        <v>2583000</v>
      </c>
      <c r="E330" s="1697">
        <f>E301+E305+E309+E313+E317+E321+E325</f>
        <v>12944000</v>
      </c>
      <c r="F330" s="1697">
        <f t="shared" si="15"/>
        <v>0</v>
      </c>
      <c r="G330" s="1697">
        <f t="shared" si="15"/>
        <v>0</v>
      </c>
      <c r="H330" s="1697">
        <f t="shared" si="15"/>
        <v>0</v>
      </c>
      <c r="I330" s="1697">
        <f t="shared" si="15"/>
        <v>516000</v>
      </c>
      <c r="J330" s="1697">
        <f t="shared" si="15"/>
        <v>0</v>
      </c>
      <c r="K330" s="1697">
        <f t="shared" si="15"/>
        <v>0</v>
      </c>
      <c r="L330" s="1697">
        <f t="shared" si="15"/>
        <v>0</v>
      </c>
      <c r="M330" s="1697">
        <f t="shared" si="15"/>
        <v>0</v>
      </c>
      <c r="N330" s="1697">
        <f t="shared" si="15"/>
        <v>28514000</v>
      </c>
      <c r="O330" s="1012"/>
      <c r="P330" s="1049"/>
      <c r="R330" s="1050"/>
    </row>
    <row r="331" spans="1:40" ht="0.15" customHeight="1" thickBot="1" x14ac:dyDescent="0.35">
      <c r="A331" s="1051"/>
      <c r="B331" s="1004" t="s">
        <v>357</v>
      </c>
      <c r="C331" s="1697" t="e">
        <f>C302+C306+C310+C314+C318+C322+#REF!+#REF!+#REF!+C326</f>
        <v>#REF!</v>
      </c>
      <c r="D331" s="1697" t="e">
        <f>D302+D306+D310+D314+D318+D322+#REF!+#REF!+#REF!</f>
        <v>#REF!</v>
      </c>
      <c r="E331" s="1697" t="e">
        <f>E302+E306+E310+E314+E318+E322+#REF!+#REF!+#REF!</f>
        <v>#REF!</v>
      </c>
      <c r="F331" s="1697" t="e">
        <f>F302+F306+F310+F314+F318+F322+#REF!+#REF!+#REF!</f>
        <v>#REF!</v>
      </c>
      <c r="G331" s="1697" t="e">
        <f>G302+G306+G310+G314+G318+G322+#REF!+#REF!+#REF!</f>
        <v>#REF!</v>
      </c>
      <c r="H331" s="1697" t="e">
        <f>H302+H306+H310+H314+H318+H322+#REF!+#REF!+#REF!</f>
        <v>#REF!</v>
      </c>
      <c r="I331" s="1697" t="e">
        <f>I302+I306+I310+I314+I318+I322+#REF!+#REF!+#REF!</f>
        <v>#REF!</v>
      </c>
      <c r="J331" s="1697" t="e">
        <f>J302+J306+J310+J314+J318+J322+#REF!+#REF!+#REF!</f>
        <v>#REF!</v>
      </c>
      <c r="K331" s="1697" t="e">
        <f>K302+K306+K310+K314+K318+K322+#REF!+#REF!+#REF!</f>
        <v>#REF!</v>
      </c>
      <c r="L331" s="1698" t="e">
        <f>L302+L306+L310+L314+L318+L322+#REF!+#REF!+#REF!</f>
        <v>#REF!</v>
      </c>
      <c r="M331" s="1694" t="e">
        <f>M302+M306+M310+M314+M318+M322+#REF!+#REF!+#REF!</f>
        <v>#REF!</v>
      </c>
      <c r="N331" s="1845" t="e">
        <f>N302+N306+N310+N314+N318+N322+#REF!+#REF!+#REF!+N326</f>
        <v>#REF!</v>
      </c>
      <c r="O331" s="1012"/>
      <c r="P331" s="1049"/>
      <c r="R331" s="1050"/>
    </row>
    <row r="332" spans="1:40" s="783" customFormat="1" ht="0.15" customHeight="1" thickBot="1" x14ac:dyDescent="0.35">
      <c r="A332" s="1052"/>
      <c r="B332" s="1006" t="s">
        <v>355</v>
      </c>
      <c r="C332" s="1700" t="e">
        <f>C303+C307+C311+C315+C319+C323+#REF!+#REF!+#REF!+C327</f>
        <v>#REF!</v>
      </c>
      <c r="D332" s="1700" t="e">
        <f>D303+D307+D311+D315+D319+D323+#REF!+#REF!+#REF!</f>
        <v>#REF!</v>
      </c>
      <c r="E332" s="1700" t="e">
        <f>E303+E307+E311+E315+E319+E323+#REF!+#REF!+#REF!</f>
        <v>#REF!</v>
      </c>
      <c r="F332" s="1700" t="e">
        <f>F303+F307+F311+F315+F319+F323+#REF!+#REF!+#REF!</f>
        <v>#REF!</v>
      </c>
      <c r="G332" s="1700" t="e">
        <f>G303+G307+G311+G315+G319+G323+#REF!+#REF!+#REF!</f>
        <v>#REF!</v>
      </c>
      <c r="H332" s="1700" t="e">
        <f>H303+H307+H311+H315+H319+H323+#REF!+#REF!+#REF!</f>
        <v>#REF!</v>
      </c>
      <c r="I332" s="1700" t="e">
        <f>I303+I307+I311+I315+I319+I323+#REF!+#REF!+#REF!</f>
        <v>#REF!</v>
      </c>
      <c r="J332" s="1700" t="e">
        <f>J303+J307+J311+J315+J319+J323+#REF!+#REF!+#REF!</f>
        <v>#REF!</v>
      </c>
      <c r="K332" s="1700" t="e">
        <f>K303+K307+K311+K315+K319+K323+#REF!+#REF!+#REF!</f>
        <v>#REF!</v>
      </c>
      <c r="L332" s="1701" t="e">
        <f>L303+L307+L311+L315+L319+L323+#REF!+#REF!+#REF!</f>
        <v>#REF!</v>
      </c>
      <c r="M332" s="1807" t="e">
        <f>M303+M307+M311+M315+M319+M323+#REF!+#REF!+#REF!</f>
        <v>#REF!</v>
      </c>
      <c r="N332" s="1808" t="e">
        <f>N303+N307+N311+N315+N319+N323+#REF!+#REF!+#REF!+N327</f>
        <v>#REF!</v>
      </c>
      <c r="O332" s="1018"/>
      <c r="P332" s="1053"/>
      <c r="Q332" s="976"/>
      <c r="R332" s="1054"/>
      <c r="S332" s="976"/>
      <c r="T332" s="976"/>
    </row>
    <row r="333" spans="1:40" ht="0.15" customHeight="1" thickBot="1" x14ac:dyDescent="0.35">
      <c r="A333" s="1051"/>
      <c r="B333" s="1004"/>
      <c r="C333" s="1697"/>
      <c r="D333" s="1697"/>
      <c r="E333" s="1697"/>
      <c r="F333" s="1697"/>
      <c r="G333" s="1697"/>
      <c r="H333" s="1697"/>
      <c r="I333" s="1697"/>
      <c r="J333" s="1697"/>
      <c r="K333" s="1697"/>
      <c r="L333" s="1698"/>
      <c r="M333" s="1697"/>
      <c r="N333" s="1846"/>
      <c r="O333" s="1012"/>
      <c r="P333" s="1049"/>
      <c r="R333" s="1050"/>
    </row>
    <row r="334" spans="1:40" ht="14.25" customHeight="1" thickBot="1" x14ac:dyDescent="0.35">
      <c r="A334" s="1055"/>
      <c r="B334" s="1056"/>
      <c r="C334" s="1703"/>
      <c r="D334" s="1703"/>
      <c r="E334" s="1703"/>
      <c r="F334" s="1703"/>
      <c r="G334" s="1703"/>
      <c r="H334" s="1703"/>
      <c r="I334" s="1703"/>
      <c r="J334" s="1703"/>
      <c r="K334" s="1703"/>
      <c r="L334" s="1704"/>
      <c r="M334" s="1802"/>
      <c r="N334" s="1847"/>
      <c r="O334" s="1012"/>
      <c r="P334" s="1049"/>
      <c r="R334" s="1050"/>
    </row>
    <row r="335" spans="1:40" s="1060" customFormat="1" ht="14.25" customHeight="1" x14ac:dyDescent="0.3">
      <c r="A335" s="2508" t="s">
        <v>349</v>
      </c>
      <c r="B335" s="2509"/>
      <c r="C335" s="1848"/>
      <c r="D335" s="1848"/>
      <c r="E335" s="1848"/>
      <c r="F335" s="1848"/>
      <c r="G335" s="1848"/>
      <c r="H335" s="1848"/>
      <c r="I335" s="1848"/>
      <c r="J335" s="1848"/>
      <c r="K335" s="1848"/>
      <c r="L335" s="1848"/>
      <c r="M335" s="1848"/>
      <c r="N335" s="1759"/>
      <c r="O335" s="1057"/>
      <c r="P335" s="1058"/>
      <c r="Q335" s="1059"/>
      <c r="R335" s="1059"/>
      <c r="S335" s="1059"/>
      <c r="T335" s="1059"/>
    </row>
    <row r="336" spans="1:40" ht="14.25" customHeight="1" thickBot="1" x14ac:dyDescent="0.35">
      <c r="A336" s="1061"/>
      <c r="B336" s="1062" t="s">
        <v>356</v>
      </c>
      <c r="C336" s="1849">
        <f t="shared" ref="C336:M336" si="16">C283+C294+C330</f>
        <v>320831000</v>
      </c>
      <c r="D336" s="1849">
        <f t="shared" si="16"/>
        <v>70893000</v>
      </c>
      <c r="E336" s="1849">
        <f t="shared" si="16"/>
        <v>311306693</v>
      </c>
      <c r="F336" s="1849">
        <f t="shared" si="16"/>
        <v>21848000</v>
      </c>
      <c r="G336" s="1849">
        <f t="shared" si="16"/>
        <v>295039503</v>
      </c>
      <c r="H336" s="1849">
        <f t="shared" si="16"/>
        <v>912367627</v>
      </c>
      <c r="I336" s="1849">
        <f t="shared" si="16"/>
        <v>111248760</v>
      </c>
      <c r="J336" s="1849">
        <f t="shared" si="16"/>
        <v>6127431</v>
      </c>
      <c r="K336" s="1849">
        <f t="shared" si="16"/>
        <v>3461428</v>
      </c>
      <c r="L336" s="1849">
        <f t="shared" si="16"/>
        <v>77670856</v>
      </c>
      <c r="M336" s="1849">
        <f t="shared" si="16"/>
        <v>101233365</v>
      </c>
      <c r="N336" s="1850">
        <f>N283+N294+N330</f>
        <v>2232027663</v>
      </c>
      <c r="O336" s="1035"/>
      <c r="P336" s="2342"/>
      <c r="Q336" s="2343"/>
    </row>
    <row r="337" spans="1:20" ht="0.15" customHeight="1" thickBot="1" x14ac:dyDescent="0.35">
      <c r="A337" s="1063"/>
      <c r="B337" s="1064" t="s">
        <v>357</v>
      </c>
      <c r="C337" s="1065" t="e">
        <f t="shared" ref="C337:M337" si="17">C284+C295+C331</f>
        <v>#REF!</v>
      </c>
      <c r="D337" s="1065" t="e">
        <f t="shared" si="17"/>
        <v>#REF!</v>
      </c>
      <c r="E337" s="1065" t="e">
        <f t="shared" si="17"/>
        <v>#REF!</v>
      </c>
      <c r="F337" s="1065" t="e">
        <f t="shared" si="17"/>
        <v>#REF!</v>
      </c>
      <c r="G337" s="1065" t="e">
        <f t="shared" si="17"/>
        <v>#REF!</v>
      </c>
      <c r="H337" s="1065" t="e">
        <f t="shared" si="17"/>
        <v>#REF!</v>
      </c>
      <c r="I337" s="1065" t="e">
        <f t="shared" si="17"/>
        <v>#REF!</v>
      </c>
      <c r="J337" s="1065" t="e">
        <f t="shared" si="17"/>
        <v>#REF!</v>
      </c>
      <c r="K337" s="1065" t="e">
        <f t="shared" si="17"/>
        <v>#REF!</v>
      </c>
      <c r="L337" s="1066" t="e">
        <f t="shared" si="17"/>
        <v>#REF!</v>
      </c>
      <c r="M337" s="1066" t="e">
        <f t="shared" si="17"/>
        <v>#REF!</v>
      </c>
      <c r="N337" s="1067" t="e">
        <f>SUM(N331,N295,N284)</f>
        <v>#REF!</v>
      </c>
      <c r="O337" s="1035"/>
      <c r="P337" s="1035"/>
    </row>
    <row r="338" spans="1:20" s="783" customFormat="1" ht="0.15" customHeight="1" x14ac:dyDescent="0.3">
      <c r="A338" s="1068"/>
      <c r="B338" s="1013" t="s">
        <v>355</v>
      </c>
      <c r="C338" s="1069" t="e">
        <f t="shared" ref="C338:M338" si="18">C285+C296+C332</f>
        <v>#REF!</v>
      </c>
      <c r="D338" s="1069" t="e">
        <f t="shared" si="18"/>
        <v>#REF!</v>
      </c>
      <c r="E338" s="1069" t="e">
        <f t="shared" si="18"/>
        <v>#REF!</v>
      </c>
      <c r="F338" s="1069" t="e">
        <f t="shared" si="18"/>
        <v>#REF!</v>
      </c>
      <c r="G338" s="1069" t="e">
        <f t="shared" si="18"/>
        <v>#REF!</v>
      </c>
      <c r="H338" s="1069" t="e">
        <f t="shared" si="18"/>
        <v>#REF!</v>
      </c>
      <c r="I338" s="1069" t="e">
        <f t="shared" si="18"/>
        <v>#REF!</v>
      </c>
      <c r="J338" s="1069" t="e">
        <f t="shared" si="18"/>
        <v>#REF!</v>
      </c>
      <c r="K338" s="1069" t="e">
        <f t="shared" si="18"/>
        <v>#REF!</v>
      </c>
      <c r="L338" s="1070" t="e">
        <f t="shared" si="18"/>
        <v>#REF!</v>
      </c>
      <c r="M338" s="1069" t="e">
        <f t="shared" si="18"/>
        <v>#REF!</v>
      </c>
      <c r="N338" s="1071" t="e">
        <f>SUM(N332,N296,N285)</f>
        <v>#REF!</v>
      </c>
      <c r="O338" s="1054"/>
      <c r="P338" s="1054"/>
      <c r="Q338" s="976"/>
      <c r="R338" s="976"/>
      <c r="S338" s="976"/>
      <c r="T338" s="976"/>
    </row>
    <row r="339" spans="1:20" s="783" customFormat="1" ht="0.15" customHeight="1" x14ac:dyDescent="0.3">
      <c r="A339" s="1252"/>
      <c r="B339" s="1253" t="s">
        <v>429</v>
      </c>
      <c r="C339" s="1254" t="e">
        <f>SUM(C338/C337)</f>
        <v>#REF!</v>
      </c>
      <c r="D339" s="1254" t="e">
        <f t="shared" ref="D339:N339" si="19">SUM(D338/D337)</f>
        <v>#REF!</v>
      </c>
      <c r="E339" s="1254" t="e">
        <f t="shared" si="19"/>
        <v>#REF!</v>
      </c>
      <c r="F339" s="1254" t="e">
        <f t="shared" si="19"/>
        <v>#REF!</v>
      </c>
      <c r="G339" s="1254" t="e">
        <f t="shared" si="19"/>
        <v>#REF!</v>
      </c>
      <c r="H339" s="1254" t="e">
        <f t="shared" si="19"/>
        <v>#REF!</v>
      </c>
      <c r="I339" s="1254" t="e">
        <f t="shared" si="19"/>
        <v>#REF!</v>
      </c>
      <c r="J339" s="1254" t="e">
        <f t="shared" si="19"/>
        <v>#REF!</v>
      </c>
      <c r="K339" s="1254" t="e">
        <f t="shared" si="19"/>
        <v>#REF!</v>
      </c>
      <c r="L339" s="1254" t="e">
        <f t="shared" si="19"/>
        <v>#REF!</v>
      </c>
      <c r="M339" s="1254" t="e">
        <f t="shared" si="19"/>
        <v>#REF!</v>
      </c>
      <c r="N339" s="1255" t="e">
        <f t="shared" si="19"/>
        <v>#REF!</v>
      </c>
      <c r="O339" s="1054"/>
      <c r="P339" s="1054"/>
      <c r="Q339" s="976"/>
      <c r="R339" s="976"/>
      <c r="S339" s="976"/>
      <c r="T339" s="976"/>
    </row>
    <row r="340" spans="1:20" ht="14.25" customHeight="1" x14ac:dyDescent="0.3">
      <c r="A340" s="1257"/>
      <c r="B340" s="1257"/>
      <c r="C340" s="1258"/>
      <c r="D340" s="1258"/>
      <c r="E340" s="1258"/>
      <c r="F340" s="1258"/>
      <c r="G340" s="1258"/>
      <c r="H340" s="1258"/>
      <c r="I340" s="1258"/>
      <c r="J340" s="1258"/>
      <c r="K340" s="1258"/>
      <c r="L340" s="1258"/>
      <c r="M340" s="1258"/>
      <c r="N340" s="1258"/>
      <c r="O340" s="1050"/>
      <c r="P340" s="1042"/>
    </row>
    <row r="341" spans="1:20" ht="15.6" x14ac:dyDescent="0.3">
      <c r="C341" s="1050"/>
      <c r="D341" s="1050"/>
      <c r="E341" s="1050"/>
      <c r="F341" s="1050"/>
      <c r="G341" s="1050"/>
      <c r="H341" s="1050"/>
      <c r="I341" s="1050"/>
      <c r="J341" s="1050"/>
      <c r="K341" s="1050"/>
      <c r="L341" s="1050"/>
      <c r="M341" s="1050"/>
      <c r="N341" s="1050"/>
      <c r="O341" s="1236"/>
      <c r="P341" s="1050"/>
    </row>
    <row r="342" spans="1:20" x14ac:dyDescent="0.3">
      <c r="C342" s="1050"/>
      <c r="D342" s="1050"/>
      <c r="E342" s="1050"/>
      <c r="F342" s="1050"/>
      <c r="G342" s="1050"/>
      <c r="H342" s="1050"/>
      <c r="I342" s="1050"/>
      <c r="J342" s="1050"/>
      <c r="K342" s="1050"/>
      <c r="L342" s="1050"/>
      <c r="M342" s="1050"/>
      <c r="N342" s="1050"/>
      <c r="O342" s="1050"/>
      <c r="P342" s="1050"/>
    </row>
    <row r="343" spans="1:20" x14ac:dyDescent="0.3">
      <c r="C343" s="1050"/>
      <c r="D343" s="1050"/>
      <c r="E343" s="1050"/>
      <c r="F343" s="1050"/>
      <c r="G343" s="1050"/>
      <c r="H343" s="1050"/>
      <c r="I343" s="1050"/>
      <c r="J343" s="1050"/>
      <c r="K343" s="1050"/>
      <c r="L343" s="1050"/>
      <c r="M343" s="1050"/>
      <c r="N343" s="1050"/>
      <c r="O343" s="1050"/>
      <c r="P343" s="1050"/>
    </row>
    <row r="344" spans="1:20" x14ac:dyDescent="0.3">
      <c r="C344" s="1050"/>
      <c r="D344" s="1050"/>
      <c r="E344" s="1050"/>
      <c r="F344" s="1050"/>
      <c r="G344" s="1050"/>
      <c r="H344" s="1050"/>
      <c r="I344" s="1050"/>
      <c r="J344" s="1050"/>
      <c r="K344" s="1050"/>
      <c r="L344" s="1050"/>
      <c r="M344" s="1050"/>
      <c r="N344" s="1050"/>
      <c r="O344" s="1050"/>
      <c r="P344" s="1050"/>
    </row>
    <row r="345" spans="1:20" x14ac:dyDescent="0.3">
      <c r="C345" s="1050"/>
      <c r="D345" s="1050"/>
      <c r="E345" s="1050"/>
      <c r="F345" s="1050"/>
      <c r="G345" s="1050"/>
      <c r="H345" s="1050"/>
      <c r="I345" s="1050"/>
      <c r="J345" s="1050"/>
      <c r="K345" s="1050"/>
      <c r="L345" s="1050"/>
      <c r="M345" s="1050"/>
      <c r="N345" s="1050"/>
      <c r="O345" s="1050"/>
      <c r="P345" s="1050"/>
    </row>
    <row r="346" spans="1:20" x14ac:dyDescent="0.3">
      <c r="C346" s="1050"/>
      <c r="D346" s="1050"/>
      <c r="E346" s="1050"/>
      <c r="F346" s="1050"/>
      <c r="G346" s="1050"/>
      <c r="H346" s="1050"/>
      <c r="I346" s="1050"/>
      <c r="J346" s="1050"/>
      <c r="K346" s="1050"/>
      <c r="L346" s="1050"/>
      <c r="M346" s="1050"/>
      <c r="N346" s="1050"/>
      <c r="O346" s="1050"/>
      <c r="P346" s="1050"/>
    </row>
    <row r="347" spans="1:20" x14ac:dyDescent="0.3">
      <c r="C347" s="1050"/>
      <c r="D347" s="1050"/>
      <c r="E347" s="1050"/>
      <c r="F347" s="1050"/>
      <c r="G347" s="1050"/>
      <c r="H347" s="1050"/>
      <c r="I347" s="1050"/>
      <c r="J347" s="1050"/>
      <c r="K347" s="1050"/>
      <c r="L347" s="1050"/>
      <c r="M347" s="1050"/>
      <c r="N347" s="1050"/>
      <c r="O347" s="1050"/>
      <c r="P347" s="1050"/>
    </row>
    <row r="348" spans="1:20" ht="15" customHeight="1" x14ac:dyDescent="0.3">
      <c r="C348" s="1050"/>
      <c r="D348" s="1050"/>
      <c r="E348" s="1050"/>
      <c r="F348" s="1050"/>
      <c r="G348" s="1050"/>
      <c r="H348" s="1050"/>
      <c r="I348" s="1050"/>
      <c r="J348" s="1050"/>
      <c r="K348" s="1050"/>
      <c r="L348" s="1050"/>
      <c r="M348" s="1050"/>
      <c r="N348" s="1050"/>
      <c r="O348" s="1050"/>
      <c r="P348" s="1050"/>
    </row>
    <row r="349" spans="1:20" ht="15" customHeight="1" x14ac:dyDescent="0.3">
      <c r="C349" s="1050"/>
      <c r="D349" s="1050"/>
      <c r="E349" s="1050"/>
      <c r="F349" s="1050"/>
      <c r="G349" s="1050"/>
      <c r="H349" s="1050"/>
      <c r="I349" s="1050"/>
      <c r="J349" s="1050"/>
      <c r="K349" s="1050"/>
      <c r="L349" s="1050"/>
      <c r="M349" s="1050"/>
      <c r="N349" s="1050"/>
      <c r="O349" s="1050"/>
      <c r="P349" s="1050"/>
    </row>
    <row r="350" spans="1:20" ht="15" customHeight="1" x14ac:dyDescent="0.3">
      <c r="C350" s="1050"/>
      <c r="D350" s="1050"/>
      <c r="E350" s="1050"/>
      <c r="F350" s="1050"/>
      <c r="G350" s="1050"/>
      <c r="H350" s="1050"/>
      <c r="I350" s="1050"/>
      <c r="J350" s="1050"/>
      <c r="K350" s="1050"/>
      <c r="L350" s="1050"/>
      <c r="M350" s="1050"/>
      <c r="N350" s="1050"/>
      <c r="O350" s="1050"/>
      <c r="P350" s="1050"/>
    </row>
    <row r="351" spans="1:20" ht="15" customHeight="1" x14ac:dyDescent="0.3">
      <c r="C351" s="1050"/>
      <c r="D351" s="1050"/>
      <c r="E351" s="1050"/>
      <c r="F351" s="1050"/>
      <c r="G351" s="1050"/>
      <c r="H351" s="1050"/>
      <c r="I351" s="1050"/>
      <c r="J351" s="1050"/>
      <c r="K351" s="1050"/>
      <c r="L351" s="1050"/>
      <c r="M351" s="1050"/>
      <c r="N351" s="1050"/>
      <c r="O351" s="1050"/>
      <c r="P351" s="1050"/>
    </row>
    <row r="352" spans="1:20" ht="15" customHeight="1" x14ac:dyDescent="0.3">
      <c r="C352" s="1050"/>
      <c r="D352" s="1050"/>
      <c r="E352" s="1050"/>
      <c r="F352" s="1050"/>
      <c r="G352" s="1050"/>
      <c r="H352" s="1050"/>
      <c r="I352" s="1050"/>
      <c r="J352" s="1050"/>
      <c r="K352" s="1050"/>
      <c r="L352" s="1050"/>
      <c r="M352" s="1050"/>
      <c r="N352" s="1050"/>
      <c r="O352" s="1050"/>
      <c r="P352" s="1050"/>
    </row>
    <row r="353" spans="3:16" ht="15" customHeight="1" x14ac:dyDescent="0.3">
      <c r="C353" s="1050"/>
      <c r="D353" s="1050"/>
      <c r="E353" s="1050"/>
      <c r="F353" s="1050"/>
      <c r="G353" s="1050"/>
      <c r="H353" s="1050"/>
      <c r="I353" s="1050"/>
      <c r="J353" s="1050"/>
      <c r="K353" s="1050"/>
      <c r="L353" s="1050"/>
      <c r="M353" s="1050"/>
      <c r="N353" s="1050"/>
      <c r="O353" s="1050"/>
      <c r="P353" s="1050"/>
    </row>
    <row r="354" spans="3:16" ht="15" customHeight="1" x14ac:dyDescent="0.3">
      <c r="C354" s="1050"/>
      <c r="D354" s="1050"/>
      <c r="E354" s="1050"/>
      <c r="F354" s="1050"/>
      <c r="G354" s="1050"/>
      <c r="H354" s="1050"/>
      <c r="I354" s="1050"/>
      <c r="J354" s="1050"/>
      <c r="K354" s="1050"/>
      <c r="L354" s="1050"/>
      <c r="M354" s="1050"/>
      <c r="N354" s="1050"/>
      <c r="O354" s="1050"/>
      <c r="P354" s="1050"/>
    </row>
    <row r="355" spans="3:16" ht="15" customHeight="1" x14ac:dyDescent="0.3">
      <c r="C355" s="1050"/>
      <c r="D355" s="1050"/>
      <c r="E355" s="1050"/>
      <c r="F355" s="1050"/>
      <c r="G355" s="1050"/>
      <c r="H355" s="1050"/>
      <c r="I355" s="1050"/>
      <c r="J355" s="1050"/>
      <c r="K355" s="1050"/>
      <c r="L355" s="1050"/>
      <c r="M355" s="1050"/>
      <c r="N355" s="1050"/>
      <c r="O355" s="1050"/>
      <c r="P355" s="1050"/>
    </row>
    <row r="356" spans="3:16" ht="15" customHeight="1" x14ac:dyDescent="0.3">
      <c r="C356" s="1050"/>
      <c r="D356" s="1050"/>
      <c r="E356" s="1050"/>
      <c r="F356" s="1050"/>
      <c r="G356" s="1050"/>
      <c r="H356" s="1050"/>
      <c r="I356" s="1050"/>
      <c r="J356" s="1050"/>
      <c r="K356" s="1050"/>
      <c r="L356" s="1050"/>
      <c r="M356" s="1050"/>
      <c r="N356" s="1050"/>
      <c r="O356" s="1050"/>
      <c r="P356" s="1050"/>
    </row>
    <row r="357" spans="3:16" ht="15" customHeight="1" x14ac:dyDescent="0.3">
      <c r="C357" s="1050"/>
      <c r="D357" s="1050"/>
      <c r="E357" s="1050"/>
      <c r="F357" s="1050"/>
      <c r="G357" s="1050"/>
      <c r="H357" s="1050"/>
      <c r="I357" s="1050"/>
      <c r="J357" s="1050"/>
      <c r="K357" s="1050"/>
      <c r="L357" s="1050"/>
      <c r="M357" s="1050"/>
      <c r="N357" s="1050"/>
      <c r="O357" s="1050"/>
      <c r="P357" s="1050"/>
    </row>
    <row r="358" spans="3:16" ht="15" customHeight="1" x14ac:dyDescent="0.3">
      <c r="C358" s="1050"/>
      <c r="D358" s="1050"/>
      <c r="E358" s="1050"/>
      <c r="F358" s="1050"/>
      <c r="G358" s="1050"/>
      <c r="H358" s="1050"/>
      <c r="I358" s="1050"/>
      <c r="J358" s="1050"/>
      <c r="K358" s="1050"/>
      <c r="L358" s="1050"/>
      <c r="M358" s="1050"/>
      <c r="N358" s="1050"/>
      <c r="O358" s="1050"/>
      <c r="P358" s="1050"/>
    </row>
    <row r="359" spans="3:16" ht="15" customHeight="1" x14ac:dyDescent="0.3">
      <c r="C359" s="1050"/>
      <c r="D359" s="1050"/>
      <c r="E359" s="1050"/>
      <c r="F359" s="1050"/>
      <c r="G359" s="1050"/>
      <c r="H359" s="1050"/>
      <c r="I359" s="1050"/>
      <c r="J359" s="1050"/>
      <c r="K359" s="1050"/>
      <c r="L359" s="1050"/>
      <c r="M359" s="1050"/>
      <c r="N359" s="1050"/>
      <c r="O359" s="1050"/>
      <c r="P359" s="1050"/>
    </row>
    <row r="360" spans="3:16" ht="15" customHeight="1" x14ac:dyDescent="0.3">
      <c r="C360" s="1050"/>
      <c r="D360" s="1050"/>
      <c r="E360" s="1050"/>
      <c r="F360" s="1050"/>
      <c r="G360" s="1050"/>
      <c r="H360" s="1050"/>
      <c r="I360" s="1050"/>
      <c r="J360" s="1050"/>
      <c r="K360" s="1050"/>
      <c r="L360" s="1050"/>
      <c r="M360" s="1050"/>
      <c r="N360" s="1050"/>
      <c r="O360" s="1050"/>
      <c r="P360" s="1050"/>
    </row>
    <row r="361" spans="3:16" ht="15" customHeight="1" x14ac:dyDescent="0.3">
      <c r="C361" s="1050"/>
      <c r="D361" s="1050"/>
      <c r="E361" s="1050"/>
      <c r="F361" s="1050"/>
      <c r="G361" s="1050"/>
      <c r="H361" s="1050"/>
      <c r="I361" s="1050"/>
      <c r="J361" s="1050"/>
      <c r="K361" s="1050"/>
      <c r="L361" s="1050"/>
      <c r="M361" s="1050"/>
      <c r="N361" s="1050"/>
      <c r="O361" s="1050"/>
      <c r="P361" s="1050"/>
    </row>
    <row r="362" spans="3:16" ht="15" customHeight="1" x14ac:dyDescent="0.3">
      <c r="C362" s="1050"/>
      <c r="D362" s="1050"/>
      <c r="E362" s="1050"/>
      <c r="F362" s="1050"/>
      <c r="G362" s="1050"/>
      <c r="H362" s="1050"/>
      <c r="I362" s="1050"/>
      <c r="J362" s="1050"/>
      <c r="K362" s="1050"/>
      <c r="L362" s="1050"/>
      <c r="M362" s="1050"/>
      <c r="N362" s="1050"/>
      <c r="O362" s="1050"/>
      <c r="P362" s="1050"/>
    </row>
    <row r="363" spans="3:16" ht="15" customHeight="1" x14ac:dyDescent="0.3">
      <c r="C363" s="1050"/>
      <c r="D363" s="1050"/>
      <c r="E363" s="1050"/>
      <c r="F363" s="1050"/>
      <c r="G363" s="1050"/>
      <c r="H363" s="1050"/>
      <c r="I363" s="1050"/>
      <c r="J363" s="1050"/>
      <c r="K363" s="1050"/>
      <c r="L363" s="1050"/>
      <c r="M363" s="1050"/>
      <c r="N363" s="1050"/>
      <c r="O363" s="1050"/>
      <c r="P363" s="1050"/>
    </row>
    <row r="364" spans="3:16" ht="15" customHeight="1" x14ac:dyDescent="0.3">
      <c r="C364" s="1050"/>
      <c r="D364" s="1050"/>
      <c r="E364" s="1050"/>
      <c r="F364" s="1050"/>
      <c r="G364" s="1050"/>
      <c r="H364" s="1050"/>
      <c r="I364" s="1050"/>
      <c r="J364" s="1050"/>
      <c r="K364" s="1050"/>
      <c r="L364" s="1050"/>
      <c r="M364" s="1050"/>
      <c r="N364" s="1050"/>
      <c r="O364" s="1050"/>
      <c r="P364" s="1050"/>
    </row>
    <row r="365" spans="3:16" ht="15" customHeight="1" x14ac:dyDescent="0.3">
      <c r="C365" s="1050"/>
      <c r="D365" s="1050"/>
      <c r="E365" s="1050"/>
      <c r="F365" s="1050"/>
      <c r="G365" s="1050"/>
      <c r="H365" s="1050"/>
      <c r="I365" s="1050"/>
      <c r="J365" s="1050"/>
      <c r="K365" s="1050"/>
      <c r="L365" s="1050"/>
      <c r="M365" s="1050"/>
      <c r="N365" s="1050"/>
      <c r="O365" s="1050"/>
      <c r="P365" s="1050"/>
    </row>
    <row r="366" spans="3:16" ht="15" customHeight="1" x14ac:dyDescent="0.3">
      <c r="C366" s="1050"/>
      <c r="D366" s="1050"/>
      <c r="E366" s="1050"/>
      <c r="F366" s="1050"/>
      <c r="G366" s="1050"/>
      <c r="H366" s="1050"/>
      <c r="I366" s="1050"/>
      <c r="J366" s="1050"/>
      <c r="K366" s="1050"/>
      <c r="L366" s="1050"/>
      <c r="M366" s="1050"/>
      <c r="N366" s="1050"/>
      <c r="O366" s="1050"/>
      <c r="P366" s="1050"/>
    </row>
    <row r="367" spans="3:16" ht="15" customHeight="1" x14ac:dyDescent="0.3">
      <c r="C367" s="1050"/>
      <c r="D367" s="1050"/>
      <c r="E367" s="1050"/>
      <c r="F367" s="1050"/>
      <c r="G367" s="1050"/>
      <c r="H367" s="1050"/>
      <c r="I367" s="1050"/>
      <c r="J367" s="1050"/>
      <c r="K367" s="1050"/>
      <c r="L367" s="1050"/>
      <c r="M367" s="1050"/>
      <c r="N367" s="1050"/>
      <c r="O367" s="1050"/>
      <c r="P367" s="1050"/>
    </row>
    <row r="368" spans="3:16" ht="15" customHeight="1" x14ac:dyDescent="0.3">
      <c r="C368" s="1050"/>
      <c r="D368" s="1050"/>
      <c r="E368" s="1050"/>
      <c r="F368" s="1050"/>
      <c r="G368" s="1050"/>
      <c r="H368" s="1050"/>
      <c r="I368" s="1050"/>
      <c r="J368" s="1050"/>
      <c r="K368" s="1050"/>
      <c r="L368" s="1050"/>
      <c r="M368" s="1050"/>
      <c r="N368" s="1050"/>
      <c r="O368" s="1050"/>
      <c r="P368" s="1050"/>
    </row>
    <row r="369" spans="3:16" ht="15" customHeight="1" x14ac:dyDescent="0.3">
      <c r="C369" s="1050"/>
      <c r="D369" s="1050"/>
      <c r="E369" s="1050"/>
      <c r="F369" s="1050"/>
      <c r="G369" s="1050"/>
      <c r="H369" s="1050"/>
      <c r="I369" s="1050"/>
      <c r="J369" s="1050"/>
      <c r="K369" s="1050"/>
      <c r="L369" s="1050"/>
      <c r="M369" s="1050"/>
      <c r="N369" s="1050"/>
      <c r="O369" s="1050"/>
      <c r="P369" s="1050"/>
    </row>
    <row r="370" spans="3:16" ht="15" customHeight="1" x14ac:dyDescent="0.3">
      <c r="C370" s="1050"/>
      <c r="D370" s="1050"/>
      <c r="E370" s="1050"/>
      <c r="F370" s="1050"/>
      <c r="G370" s="1050"/>
      <c r="H370" s="1050"/>
      <c r="I370" s="1050"/>
      <c r="J370" s="1050"/>
      <c r="K370" s="1050"/>
      <c r="L370" s="1050"/>
      <c r="M370" s="1050"/>
      <c r="N370" s="1050"/>
      <c r="O370" s="1050"/>
      <c r="P370" s="1050"/>
    </row>
    <row r="371" spans="3:16" ht="15" customHeight="1" x14ac:dyDescent="0.3">
      <c r="C371" s="1050"/>
      <c r="D371" s="1050"/>
      <c r="E371" s="1050"/>
      <c r="F371" s="1050"/>
      <c r="G371" s="1050"/>
      <c r="H371" s="1050"/>
      <c r="I371" s="1050"/>
      <c r="J371" s="1050"/>
      <c r="K371" s="1050"/>
      <c r="L371" s="1050"/>
      <c r="M371" s="1050"/>
      <c r="N371" s="1050"/>
      <c r="O371" s="1050"/>
      <c r="P371" s="1050"/>
    </row>
    <row r="372" spans="3:16" ht="15" customHeight="1" x14ac:dyDescent="0.3">
      <c r="C372" s="1050"/>
      <c r="D372" s="1050"/>
      <c r="E372" s="1050"/>
      <c r="F372" s="1050"/>
      <c r="G372" s="1050"/>
      <c r="H372" s="1050"/>
      <c r="I372" s="1050"/>
      <c r="J372" s="1050"/>
      <c r="K372" s="1050"/>
      <c r="L372" s="1050"/>
      <c r="M372" s="1050"/>
      <c r="N372" s="1050"/>
      <c r="O372" s="1050"/>
      <c r="P372" s="1050"/>
    </row>
    <row r="373" spans="3:16" ht="15" customHeight="1" x14ac:dyDescent="0.3">
      <c r="C373" s="1050"/>
      <c r="D373" s="1050"/>
      <c r="E373" s="1050"/>
      <c r="F373" s="1050"/>
      <c r="G373" s="1050"/>
      <c r="H373" s="1050"/>
      <c r="I373" s="1050"/>
      <c r="J373" s="1050"/>
      <c r="K373" s="1050"/>
      <c r="L373" s="1050"/>
      <c r="M373" s="1050"/>
      <c r="N373" s="1050"/>
      <c r="O373" s="1050"/>
      <c r="P373" s="1050"/>
    </row>
    <row r="374" spans="3:16" ht="15" customHeight="1" x14ac:dyDescent="0.3">
      <c r="C374" s="1050"/>
      <c r="D374" s="1050"/>
      <c r="E374" s="1050"/>
      <c r="F374" s="1050"/>
      <c r="G374" s="1050"/>
      <c r="H374" s="1050"/>
      <c r="I374" s="1050"/>
      <c r="J374" s="1050"/>
      <c r="K374" s="1050"/>
      <c r="L374" s="1050"/>
      <c r="M374" s="1050"/>
      <c r="N374" s="1050"/>
      <c r="O374" s="1050"/>
      <c r="P374" s="1050"/>
    </row>
    <row r="375" spans="3:16" ht="15" customHeight="1" x14ac:dyDescent="0.3">
      <c r="C375" s="1050"/>
      <c r="D375" s="1050"/>
      <c r="E375" s="1050"/>
      <c r="F375" s="1050"/>
      <c r="G375" s="1050"/>
      <c r="H375" s="1050"/>
      <c r="I375" s="1050"/>
      <c r="J375" s="1050"/>
      <c r="K375" s="1050"/>
      <c r="L375" s="1050"/>
      <c r="M375" s="1050"/>
      <c r="N375" s="1050"/>
      <c r="O375" s="1050"/>
      <c r="P375" s="1050"/>
    </row>
    <row r="376" spans="3:16" ht="15" customHeight="1" x14ac:dyDescent="0.3">
      <c r="C376" s="1050"/>
      <c r="D376" s="1050"/>
      <c r="E376" s="1050"/>
      <c r="F376" s="1050"/>
      <c r="G376" s="1050"/>
      <c r="H376" s="1050"/>
      <c r="I376" s="1050"/>
      <c r="J376" s="1050"/>
      <c r="K376" s="1050"/>
      <c r="L376" s="1050"/>
      <c r="M376" s="1050"/>
      <c r="N376" s="1050"/>
      <c r="O376" s="1050"/>
      <c r="P376" s="1050"/>
    </row>
    <row r="377" spans="3:16" ht="15" customHeight="1" x14ac:dyDescent="0.3">
      <c r="C377" s="1050"/>
      <c r="D377" s="1050"/>
      <c r="E377" s="1050"/>
      <c r="F377" s="1050"/>
      <c r="G377" s="1050"/>
      <c r="H377" s="1050"/>
      <c r="I377" s="1050"/>
      <c r="J377" s="1050"/>
      <c r="K377" s="1050"/>
      <c r="L377" s="1050"/>
      <c r="M377" s="1050"/>
      <c r="N377" s="1050"/>
      <c r="O377" s="1050"/>
      <c r="P377" s="1050"/>
    </row>
    <row r="378" spans="3:16" ht="15" customHeight="1" x14ac:dyDescent="0.3">
      <c r="C378" s="1050"/>
      <c r="D378" s="1050"/>
      <c r="E378" s="1050"/>
      <c r="F378" s="1050"/>
      <c r="G378" s="1050"/>
      <c r="H378" s="1050"/>
      <c r="I378" s="1050"/>
      <c r="J378" s="1050"/>
      <c r="K378" s="1050"/>
      <c r="L378" s="1050"/>
      <c r="M378" s="1050"/>
      <c r="N378" s="1050"/>
      <c r="O378" s="1050"/>
      <c r="P378" s="1050"/>
    </row>
    <row r="379" spans="3:16" ht="15" customHeight="1" x14ac:dyDescent="0.3">
      <c r="C379" s="1050"/>
      <c r="D379" s="1050"/>
      <c r="E379" s="1050"/>
      <c r="F379" s="1050"/>
      <c r="G379" s="1050"/>
      <c r="H379" s="1050"/>
      <c r="I379" s="1050"/>
      <c r="J379" s="1050"/>
      <c r="K379" s="1050"/>
      <c r="L379" s="1050"/>
      <c r="M379" s="1050"/>
      <c r="N379" s="1050"/>
      <c r="O379" s="1050"/>
      <c r="P379" s="1050"/>
    </row>
    <row r="380" spans="3:16" ht="15" customHeight="1" x14ac:dyDescent="0.3">
      <c r="C380" s="1050"/>
      <c r="D380" s="1050"/>
      <c r="E380" s="1050"/>
      <c r="F380" s="1050"/>
      <c r="G380" s="1050"/>
      <c r="H380" s="1050"/>
      <c r="I380" s="1050"/>
      <c r="J380" s="1050"/>
      <c r="K380" s="1050"/>
      <c r="L380" s="1050"/>
      <c r="M380" s="1050"/>
      <c r="N380" s="1050"/>
      <c r="O380" s="1050"/>
      <c r="P380" s="1050"/>
    </row>
    <row r="381" spans="3:16" ht="15" customHeight="1" x14ac:dyDescent="0.3">
      <c r="C381" s="1050"/>
      <c r="D381" s="1050"/>
      <c r="E381" s="1050"/>
      <c r="F381" s="1050"/>
      <c r="G381" s="1050"/>
      <c r="H381" s="1050"/>
      <c r="I381" s="1050"/>
      <c r="J381" s="1050"/>
      <c r="K381" s="1050"/>
      <c r="L381" s="1050"/>
      <c r="M381" s="1050"/>
      <c r="N381" s="1050"/>
      <c r="O381" s="1050"/>
      <c r="P381" s="1050"/>
    </row>
    <row r="382" spans="3:16" ht="15" customHeight="1" x14ac:dyDescent="0.3">
      <c r="C382" s="1050"/>
      <c r="D382" s="1050"/>
      <c r="E382" s="1050"/>
      <c r="F382" s="1050"/>
      <c r="G382" s="1050"/>
      <c r="H382" s="1050"/>
      <c r="I382" s="1050"/>
      <c r="J382" s="1050"/>
      <c r="K382" s="1050"/>
      <c r="L382" s="1050"/>
      <c r="M382" s="1050"/>
      <c r="N382" s="1050"/>
      <c r="O382" s="1050"/>
      <c r="P382" s="1050"/>
    </row>
    <row r="383" spans="3:16" ht="15" customHeight="1" x14ac:dyDescent="0.3">
      <c r="C383" s="1050"/>
      <c r="D383" s="1050"/>
      <c r="E383" s="1050"/>
      <c r="F383" s="1050"/>
      <c r="G383" s="1050"/>
      <c r="H383" s="1050"/>
      <c r="I383" s="1050"/>
      <c r="J383" s="1050"/>
      <c r="K383" s="1050"/>
      <c r="L383" s="1050"/>
      <c r="M383" s="1050"/>
      <c r="N383" s="1050"/>
      <c r="O383" s="1050"/>
      <c r="P383" s="1050"/>
    </row>
    <row r="384" spans="3:16" ht="15" customHeight="1" x14ac:dyDescent="0.3">
      <c r="C384" s="1050"/>
      <c r="D384" s="1050"/>
      <c r="E384" s="1050"/>
      <c r="F384" s="1050"/>
      <c r="G384" s="1050"/>
      <c r="H384" s="1050"/>
      <c r="I384" s="1050"/>
      <c r="J384" s="1050"/>
      <c r="K384" s="1050"/>
      <c r="L384" s="1050"/>
      <c r="M384" s="1050"/>
      <c r="N384" s="1050"/>
      <c r="O384" s="1050"/>
      <c r="P384" s="1050"/>
    </row>
    <row r="385" spans="3:16" ht="15" customHeight="1" x14ac:dyDescent="0.3">
      <c r="C385" s="1050"/>
      <c r="D385" s="1050"/>
      <c r="E385" s="1050"/>
      <c r="F385" s="1050"/>
      <c r="G385" s="1050"/>
      <c r="H385" s="1050"/>
      <c r="I385" s="1050"/>
      <c r="J385" s="1050"/>
      <c r="K385" s="1050"/>
      <c r="L385" s="1050"/>
      <c r="M385" s="1050"/>
      <c r="N385" s="1050"/>
      <c r="O385" s="1050"/>
      <c r="P385" s="1050"/>
    </row>
    <row r="386" spans="3:16" ht="15" customHeight="1" x14ac:dyDescent="0.3">
      <c r="C386" s="1050"/>
      <c r="D386" s="1050"/>
      <c r="E386" s="1050"/>
      <c r="F386" s="1050"/>
      <c r="G386" s="1050"/>
      <c r="H386" s="1050"/>
      <c r="I386" s="1050"/>
      <c r="J386" s="1050"/>
      <c r="K386" s="1050"/>
      <c r="L386" s="1050"/>
      <c r="M386" s="1050"/>
      <c r="N386" s="1050"/>
      <c r="O386" s="1050"/>
      <c r="P386" s="1050"/>
    </row>
    <row r="387" spans="3:16" ht="15" customHeight="1" x14ac:dyDescent="0.3">
      <c r="C387" s="1050"/>
      <c r="D387" s="1050"/>
      <c r="E387" s="1050"/>
      <c r="F387" s="1050"/>
      <c r="G387" s="1050"/>
      <c r="H387" s="1050"/>
      <c r="I387" s="1050"/>
      <c r="J387" s="1050"/>
      <c r="K387" s="1050"/>
      <c r="L387" s="1050"/>
      <c r="M387" s="1050"/>
      <c r="N387" s="1050"/>
      <c r="O387" s="1050"/>
      <c r="P387" s="1050"/>
    </row>
    <row r="388" spans="3:16" ht="15" customHeight="1" x14ac:dyDescent="0.3">
      <c r="C388" s="1050"/>
      <c r="D388" s="1050"/>
      <c r="E388" s="1050"/>
      <c r="F388" s="1050"/>
      <c r="G388" s="1050"/>
      <c r="H388" s="1050"/>
      <c r="I388" s="1050"/>
      <c r="J388" s="1050"/>
      <c r="K388" s="1050"/>
      <c r="L388" s="1050"/>
      <c r="M388" s="1050"/>
      <c r="N388" s="1050"/>
      <c r="O388" s="1050"/>
      <c r="P388" s="1050"/>
    </row>
    <row r="389" spans="3:16" ht="15" customHeight="1" x14ac:dyDescent="0.3">
      <c r="C389" s="1050"/>
      <c r="D389" s="1050"/>
      <c r="E389" s="1050"/>
      <c r="F389" s="1050"/>
      <c r="G389" s="1050"/>
      <c r="H389" s="1050"/>
      <c r="I389" s="1050"/>
      <c r="J389" s="1050"/>
      <c r="K389" s="1050"/>
      <c r="L389" s="1050"/>
      <c r="M389" s="1050"/>
      <c r="N389" s="1050"/>
      <c r="O389" s="1050"/>
      <c r="P389" s="1050"/>
    </row>
    <row r="390" spans="3:16" ht="15" customHeight="1" x14ac:dyDescent="0.3">
      <c r="C390" s="1050"/>
      <c r="D390" s="1050"/>
      <c r="E390" s="1050"/>
      <c r="F390" s="1050"/>
      <c r="G390" s="1050"/>
      <c r="H390" s="1050"/>
      <c r="I390" s="1050"/>
      <c r="J390" s="1050"/>
      <c r="K390" s="1050"/>
      <c r="L390" s="1050"/>
      <c r="M390" s="1050"/>
      <c r="N390" s="1050"/>
      <c r="O390" s="1050"/>
      <c r="P390" s="1050"/>
    </row>
    <row r="391" spans="3:16" ht="15" customHeight="1" x14ac:dyDescent="0.3">
      <c r="C391" s="1050"/>
      <c r="D391" s="1050"/>
      <c r="E391" s="1050"/>
      <c r="F391" s="1050"/>
      <c r="G391" s="1050"/>
      <c r="H391" s="1050"/>
      <c r="I391" s="1050"/>
      <c r="J391" s="1050"/>
      <c r="K391" s="1050"/>
      <c r="L391" s="1050"/>
      <c r="M391" s="1050"/>
      <c r="N391" s="1050"/>
      <c r="O391" s="1050"/>
      <c r="P391" s="1050"/>
    </row>
    <row r="392" spans="3:16" ht="15" customHeight="1" x14ac:dyDescent="0.3">
      <c r="C392" s="1050"/>
      <c r="D392" s="1050"/>
      <c r="E392" s="1050"/>
      <c r="F392" s="1050"/>
      <c r="G392" s="1050"/>
      <c r="H392" s="1050"/>
      <c r="I392" s="1050"/>
      <c r="J392" s="1050"/>
      <c r="K392" s="1050"/>
      <c r="L392" s="1050"/>
      <c r="M392" s="1050"/>
      <c r="N392" s="1050"/>
      <c r="O392" s="1050"/>
      <c r="P392" s="1050"/>
    </row>
    <row r="393" spans="3:16" ht="15" customHeight="1" x14ac:dyDescent="0.3">
      <c r="C393" s="1050"/>
      <c r="D393" s="1050"/>
      <c r="E393" s="1050"/>
      <c r="F393" s="1050"/>
      <c r="G393" s="1050"/>
      <c r="H393" s="1050"/>
      <c r="I393" s="1050"/>
      <c r="J393" s="1050"/>
      <c r="K393" s="1050"/>
      <c r="L393" s="1050"/>
      <c r="M393" s="1050"/>
      <c r="N393" s="1050"/>
      <c r="O393" s="1050"/>
      <c r="P393" s="1050"/>
    </row>
    <row r="394" spans="3:16" ht="15" customHeight="1" x14ac:dyDescent="0.3">
      <c r="C394" s="1050"/>
      <c r="D394" s="1050"/>
      <c r="E394" s="1050"/>
      <c r="F394" s="1050"/>
      <c r="G394" s="1050"/>
      <c r="H394" s="1050"/>
      <c r="I394" s="1050"/>
      <c r="J394" s="1050"/>
      <c r="K394" s="1050"/>
      <c r="L394" s="1050"/>
      <c r="M394" s="1050"/>
      <c r="N394" s="1050"/>
      <c r="O394" s="1050"/>
      <c r="P394" s="1050"/>
    </row>
    <row r="395" spans="3:16" ht="15" customHeight="1" x14ac:dyDescent="0.3">
      <c r="C395" s="1050"/>
      <c r="D395" s="1050"/>
      <c r="E395" s="1050"/>
      <c r="F395" s="1050"/>
      <c r="G395" s="1050"/>
      <c r="H395" s="1050"/>
      <c r="I395" s="1050"/>
      <c r="J395" s="1050"/>
      <c r="K395" s="1050"/>
      <c r="L395" s="1050"/>
      <c r="M395" s="1050"/>
      <c r="N395" s="1050"/>
      <c r="O395" s="1050"/>
      <c r="P395" s="1050"/>
    </row>
    <row r="396" spans="3:16" ht="15" customHeight="1" x14ac:dyDescent="0.3">
      <c r="C396" s="1050"/>
      <c r="D396" s="1050"/>
      <c r="E396" s="1050"/>
      <c r="F396" s="1050"/>
      <c r="G396" s="1050"/>
      <c r="H396" s="1050"/>
      <c r="I396" s="1050"/>
      <c r="J396" s="1050"/>
      <c r="K396" s="1050"/>
      <c r="L396" s="1050"/>
      <c r="M396" s="1050"/>
      <c r="N396" s="1050"/>
      <c r="O396" s="1050"/>
      <c r="P396" s="1050"/>
    </row>
    <row r="397" spans="3:16" ht="15" customHeight="1" x14ac:dyDescent="0.3">
      <c r="C397" s="1050"/>
      <c r="D397" s="1050"/>
      <c r="E397" s="1050"/>
      <c r="F397" s="1050"/>
      <c r="G397" s="1050"/>
      <c r="H397" s="1050"/>
      <c r="I397" s="1050"/>
      <c r="J397" s="1050"/>
      <c r="K397" s="1050"/>
      <c r="L397" s="1050"/>
      <c r="M397" s="1050"/>
      <c r="N397" s="1050"/>
      <c r="O397" s="1050"/>
      <c r="P397" s="1050"/>
    </row>
    <row r="398" spans="3:16" ht="15" customHeight="1" x14ac:dyDescent="0.3">
      <c r="C398" s="1050"/>
      <c r="D398" s="1050"/>
      <c r="E398" s="1050"/>
      <c r="F398" s="1050"/>
      <c r="G398" s="1050"/>
      <c r="H398" s="1050"/>
      <c r="I398" s="1050"/>
      <c r="J398" s="1050"/>
      <c r="K398" s="1050"/>
      <c r="L398" s="1050"/>
      <c r="M398" s="1050"/>
      <c r="N398" s="1050"/>
      <c r="O398" s="1050"/>
      <c r="P398" s="1050"/>
    </row>
    <row r="399" spans="3:16" ht="15" customHeight="1" x14ac:dyDescent="0.3">
      <c r="C399" s="1050"/>
      <c r="D399" s="1050"/>
      <c r="E399" s="1050"/>
      <c r="F399" s="1050"/>
      <c r="G399" s="1050"/>
      <c r="H399" s="1050"/>
      <c r="I399" s="1050"/>
      <c r="J399" s="1050"/>
      <c r="K399" s="1050"/>
      <c r="L399" s="1050"/>
      <c r="M399" s="1050"/>
      <c r="N399" s="1050"/>
      <c r="O399" s="1050"/>
      <c r="P399" s="1050"/>
    </row>
    <row r="400" spans="3:16" ht="15" customHeight="1" x14ac:dyDescent="0.3">
      <c r="C400" s="1050"/>
      <c r="D400" s="1050"/>
      <c r="E400" s="1050"/>
      <c r="F400" s="1050"/>
      <c r="G400" s="1050"/>
      <c r="H400" s="1050"/>
      <c r="I400" s="1050"/>
      <c r="J400" s="1050"/>
      <c r="K400" s="1050"/>
      <c r="L400" s="1050"/>
      <c r="M400" s="1050"/>
      <c r="N400" s="1050"/>
      <c r="O400" s="1050"/>
      <c r="P400" s="1050"/>
    </row>
    <row r="401" spans="3:16" ht="15" customHeight="1" x14ac:dyDescent="0.3">
      <c r="C401" s="1050"/>
      <c r="D401" s="1050"/>
      <c r="E401" s="1050"/>
      <c r="F401" s="1050"/>
      <c r="G401" s="1050"/>
      <c r="H401" s="1050"/>
      <c r="I401" s="1050"/>
      <c r="J401" s="1050"/>
      <c r="K401" s="1050"/>
      <c r="L401" s="1050"/>
      <c r="M401" s="1050"/>
      <c r="N401" s="1050"/>
      <c r="O401" s="1050"/>
      <c r="P401" s="1050"/>
    </row>
    <row r="402" spans="3:16" ht="15" customHeight="1" x14ac:dyDescent="0.3">
      <c r="C402" s="1050"/>
      <c r="D402" s="1050"/>
      <c r="E402" s="1050"/>
      <c r="F402" s="1050"/>
      <c r="G402" s="1050"/>
      <c r="H402" s="1050"/>
      <c r="I402" s="1050"/>
      <c r="J402" s="1050"/>
      <c r="K402" s="1050"/>
      <c r="L402" s="1050"/>
      <c r="M402" s="1050"/>
      <c r="N402" s="1050"/>
      <c r="O402" s="1050"/>
      <c r="P402" s="1050"/>
    </row>
    <row r="403" spans="3:16" ht="15" customHeight="1" x14ac:dyDescent="0.3">
      <c r="C403" s="1050"/>
      <c r="D403" s="1050"/>
      <c r="E403" s="1050"/>
      <c r="F403" s="1050"/>
      <c r="G403" s="1050"/>
      <c r="H403" s="1050"/>
      <c r="I403" s="1050"/>
      <c r="J403" s="1050"/>
      <c r="K403" s="1050"/>
      <c r="L403" s="1050"/>
      <c r="M403" s="1050"/>
      <c r="N403" s="1050"/>
      <c r="O403" s="1050"/>
      <c r="P403" s="1050"/>
    </row>
    <row r="404" spans="3:16" ht="15" customHeight="1" x14ac:dyDescent="0.3">
      <c r="C404" s="1050"/>
      <c r="D404" s="1050"/>
      <c r="E404" s="1050"/>
      <c r="F404" s="1050"/>
      <c r="G404" s="1050"/>
      <c r="H404" s="1050"/>
      <c r="I404" s="1050"/>
      <c r="J404" s="1050"/>
      <c r="K404" s="1050"/>
      <c r="L404" s="1050"/>
      <c r="M404" s="1050"/>
      <c r="N404" s="1050"/>
      <c r="O404" s="1050"/>
      <c r="P404" s="1050"/>
    </row>
    <row r="405" spans="3:16" ht="15" customHeight="1" x14ac:dyDescent="0.3">
      <c r="C405" s="1050"/>
      <c r="D405" s="1050"/>
      <c r="E405" s="1050"/>
      <c r="F405" s="1050"/>
      <c r="G405" s="1050"/>
      <c r="H405" s="1050"/>
      <c r="I405" s="1050"/>
      <c r="J405" s="1050"/>
      <c r="K405" s="1050"/>
      <c r="L405" s="1050"/>
      <c r="M405" s="1050"/>
      <c r="N405" s="1050"/>
      <c r="O405" s="1050"/>
      <c r="P405" s="1050"/>
    </row>
    <row r="406" spans="3:16" ht="15" customHeight="1" x14ac:dyDescent="0.3">
      <c r="C406" s="1050"/>
      <c r="D406" s="1050"/>
      <c r="E406" s="1050"/>
      <c r="F406" s="1050"/>
      <c r="G406" s="1050"/>
      <c r="H406" s="1050"/>
      <c r="I406" s="1050"/>
      <c r="J406" s="1050"/>
      <c r="K406" s="1050"/>
      <c r="L406" s="1050"/>
      <c r="M406" s="1050"/>
      <c r="N406" s="1050"/>
      <c r="O406" s="1050"/>
      <c r="P406" s="1050"/>
    </row>
    <row r="407" spans="3:16" ht="15" customHeight="1" x14ac:dyDescent="0.3">
      <c r="C407" s="1050"/>
      <c r="D407" s="1050"/>
      <c r="E407" s="1050"/>
      <c r="F407" s="1050"/>
      <c r="G407" s="1050"/>
      <c r="H407" s="1050"/>
      <c r="I407" s="1050"/>
      <c r="J407" s="1050"/>
      <c r="K407" s="1050"/>
      <c r="L407" s="1050"/>
      <c r="M407" s="1050"/>
      <c r="N407" s="1050"/>
      <c r="O407" s="1050"/>
      <c r="P407" s="1050"/>
    </row>
    <row r="408" spans="3:16" ht="15" customHeight="1" x14ac:dyDescent="0.3">
      <c r="C408" s="1050"/>
      <c r="D408" s="1050"/>
      <c r="E408" s="1050"/>
      <c r="F408" s="1050"/>
      <c r="G408" s="1050"/>
      <c r="H408" s="1050"/>
      <c r="I408" s="1050"/>
      <c r="J408" s="1050"/>
      <c r="K408" s="1050"/>
      <c r="L408" s="1050"/>
      <c r="M408" s="1050"/>
      <c r="N408" s="1050"/>
      <c r="O408" s="1050"/>
      <c r="P408" s="1050"/>
    </row>
    <row r="409" spans="3:16" ht="15" customHeight="1" x14ac:dyDescent="0.3">
      <c r="C409" s="1050"/>
      <c r="D409" s="1050"/>
      <c r="E409" s="1050"/>
      <c r="F409" s="1050"/>
      <c r="G409" s="1050"/>
      <c r="H409" s="1050"/>
      <c r="I409" s="1050"/>
      <c r="J409" s="1050"/>
      <c r="K409" s="1050"/>
      <c r="L409" s="1050"/>
      <c r="M409" s="1050"/>
      <c r="N409" s="1050"/>
      <c r="O409" s="1050"/>
      <c r="P409" s="1050"/>
    </row>
    <row r="410" spans="3:16" ht="15" customHeight="1" x14ac:dyDescent="0.3">
      <c r="C410" s="1050"/>
      <c r="D410" s="1050"/>
      <c r="E410" s="1050"/>
      <c r="F410" s="1050"/>
      <c r="G410" s="1050"/>
      <c r="H410" s="1050"/>
      <c r="I410" s="1050"/>
      <c r="J410" s="1050"/>
      <c r="K410" s="1050"/>
      <c r="L410" s="1050"/>
      <c r="M410" s="1050"/>
      <c r="N410" s="1050"/>
      <c r="O410" s="1050"/>
      <c r="P410" s="1050"/>
    </row>
    <row r="411" spans="3:16" ht="15" customHeight="1" x14ac:dyDescent="0.3">
      <c r="C411" s="1050"/>
      <c r="D411" s="1050"/>
      <c r="E411" s="1050"/>
      <c r="F411" s="1050"/>
      <c r="G411" s="1050"/>
      <c r="H411" s="1050"/>
      <c r="I411" s="1050"/>
      <c r="J411" s="1050"/>
      <c r="K411" s="1050"/>
      <c r="L411" s="1050"/>
      <c r="M411" s="1050"/>
      <c r="N411" s="1050"/>
      <c r="O411" s="1050"/>
      <c r="P411" s="1050"/>
    </row>
    <row r="412" spans="3:16" ht="15" customHeight="1" x14ac:dyDescent="0.3">
      <c r="C412" s="1050"/>
      <c r="D412" s="1050"/>
      <c r="E412" s="1050"/>
      <c r="F412" s="1050"/>
      <c r="G412" s="1050"/>
      <c r="H412" s="1050"/>
      <c r="I412" s="1050"/>
      <c r="J412" s="1050"/>
      <c r="K412" s="1050"/>
      <c r="L412" s="1050"/>
      <c r="M412" s="1050"/>
      <c r="N412" s="1050"/>
      <c r="O412" s="1050"/>
      <c r="P412" s="1050"/>
    </row>
    <row r="413" spans="3:16" ht="15" customHeight="1" x14ac:dyDescent="0.3">
      <c r="C413" s="1050"/>
      <c r="D413" s="1050"/>
      <c r="E413" s="1050"/>
      <c r="F413" s="1050"/>
      <c r="G413" s="1050"/>
      <c r="H413" s="1050"/>
      <c r="I413" s="1050"/>
      <c r="J413" s="1050"/>
      <c r="K413" s="1050"/>
      <c r="L413" s="1050"/>
      <c r="M413" s="1050"/>
      <c r="N413" s="1050"/>
      <c r="O413" s="1050"/>
      <c r="P413" s="1050"/>
    </row>
    <row r="414" spans="3:16" ht="15" customHeight="1" x14ac:dyDescent="0.3">
      <c r="C414" s="1050"/>
      <c r="D414" s="1050"/>
      <c r="E414" s="1050"/>
      <c r="F414" s="1050"/>
      <c r="G414" s="1050"/>
      <c r="H414" s="1050"/>
      <c r="I414" s="1050"/>
      <c r="J414" s="1050"/>
      <c r="K414" s="1050"/>
      <c r="L414" s="1050"/>
      <c r="M414" s="1050"/>
      <c r="N414" s="1050"/>
      <c r="O414" s="1050"/>
      <c r="P414" s="1050"/>
    </row>
    <row r="415" spans="3:16" ht="15" customHeight="1" x14ac:dyDescent="0.3">
      <c r="C415" s="1050"/>
      <c r="D415" s="1050"/>
      <c r="E415" s="1050"/>
      <c r="F415" s="1050"/>
      <c r="G415" s="1050"/>
      <c r="H415" s="1050"/>
      <c r="I415" s="1050"/>
      <c r="J415" s="1050"/>
      <c r="K415" s="1050"/>
      <c r="L415" s="1050"/>
      <c r="M415" s="1050"/>
      <c r="N415" s="1050"/>
      <c r="O415" s="1050"/>
      <c r="P415" s="1050"/>
    </row>
    <row r="416" spans="3:16" ht="15" customHeight="1" x14ac:dyDescent="0.3">
      <c r="C416" s="1050"/>
      <c r="D416" s="1050"/>
      <c r="E416" s="1050"/>
      <c r="F416" s="1050"/>
      <c r="G416" s="1050"/>
      <c r="H416" s="1050"/>
      <c r="I416" s="1050"/>
      <c r="J416" s="1050"/>
      <c r="K416" s="1050"/>
      <c r="L416" s="1050"/>
      <c r="M416" s="1050"/>
      <c r="N416" s="1050"/>
      <c r="O416" s="1050"/>
      <c r="P416" s="1050"/>
    </row>
    <row r="417" spans="3:16" ht="15" customHeight="1" x14ac:dyDescent="0.3">
      <c r="C417" s="1050"/>
      <c r="D417" s="1050"/>
      <c r="E417" s="1050"/>
      <c r="F417" s="1050"/>
      <c r="G417" s="1050"/>
      <c r="H417" s="1050"/>
      <c r="I417" s="1050"/>
      <c r="J417" s="1050"/>
      <c r="K417" s="1050"/>
      <c r="L417" s="1050"/>
      <c r="M417" s="1050"/>
      <c r="N417" s="1050"/>
      <c r="O417" s="1050"/>
      <c r="P417" s="1050"/>
    </row>
    <row r="418" spans="3:16" ht="15" customHeight="1" x14ac:dyDescent="0.3">
      <c r="C418" s="1050"/>
      <c r="D418" s="1050"/>
      <c r="E418" s="1050"/>
      <c r="F418" s="1050"/>
      <c r="G418" s="1050"/>
      <c r="H418" s="1050"/>
      <c r="I418" s="1050"/>
      <c r="J418" s="1050"/>
      <c r="K418" s="1050"/>
      <c r="L418" s="1050"/>
      <c r="M418" s="1050"/>
      <c r="N418" s="1050"/>
      <c r="O418" s="1050"/>
      <c r="P418" s="1050"/>
    </row>
    <row r="419" spans="3:16" ht="15" customHeight="1" x14ac:dyDescent="0.3">
      <c r="C419" s="1050"/>
      <c r="D419" s="1050"/>
      <c r="E419" s="1050"/>
      <c r="F419" s="1050"/>
      <c r="G419" s="1050"/>
      <c r="H419" s="1050"/>
      <c r="I419" s="1050"/>
      <c r="J419" s="1050"/>
      <c r="K419" s="1050"/>
      <c r="L419" s="1050"/>
      <c r="M419" s="1050"/>
      <c r="N419" s="1050"/>
      <c r="O419" s="1050"/>
      <c r="P419" s="1050"/>
    </row>
    <row r="420" spans="3:16" ht="15" customHeight="1" x14ac:dyDescent="0.3">
      <c r="C420" s="1050"/>
      <c r="D420" s="1050"/>
      <c r="E420" s="1050"/>
      <c r="F420" s="1050"/>
      <c r="G420" s="1050"/>
      <c r="H420" s="1050"/>
      <c r="I420" s="1050"/>
      <c r="J420" s="1050"/>
      <c r="K420" s="1050"/>
      <c r="L420" s="1050"/>
      <c r="M420" s="1050"/>
      <c r="N420" s="1050"/>
      <c r="O420" s="1050"/>
      <c r="P420" s="1050"/>
    </row>
    <row r="421" spans="3:16" ht="15" customHeight="1" x14ac:dyDescent="0.3">
      <c r="C421" s="1050"/>
      <c r="D421" s="1050"/>
      <c r="E421" s="1050"/>
      <c r="F421" s="1050"/>
      <c r="G421" s="1050"/>
      <c r="H421" s="1050"/>
      <c r="I421" s="1050"/>
      <c r="J421" s="1050"/>
      <c r="K421" s="1050"/>
      <c r="L421" s="1050"/>
      <c r="M421" s="1050"/>
      <c r="N421" s="1050"/>
      <c r="O421" s="1050"/>
      <c r="P421" s="1050"/>
    </row>
    <row r="422" spans="3:16" x14ac:dyDescent="0.3">
      <c r="C422" s="1050"/>
      <c r="D422" s="1050"/>
      <c r="E422" s="1050"/>
      <c r="F422" s="1050"/>
      <c r="G422" s="1050"/>
      <c r="H422" s="1050"/>
      <c r="I422" s="1050"/>
      <c r="J422" s="1050"/>
      <c r="K422" s="1050"/>
      <c r="L422" s="1050"/>
      <c r="M422" s="1050"/>
      <c r="N422" s="1050"/>
      <c r="O422" s="1050"/>
      <c r="P422" s="1050"/>
    </row>
    <row r="423" spans="3:16" x14ac:dyDescent="0.3">
      <c r="C423" s="1050"/>
      <c r="D423" s="1050"/>
      <c r="E423" s="1050"/>
      <c r="F423" s="1050"/>
      <c r="G423" s="1050"/>
      <c r="H423" s="1050"/>
      <c r="I423" s="1050"/>
      <c r="J423" s="1050"/>
      <c r="K423" s="1050"/>
      <c r="L423" s="1050"/>
      <c r="M423" s="1050"/>
      <c r="N423" s="1050"/>
      <c r="O423" s="1050"/>
      <c r="P423" s="1050"/>
    </row>
    <row r="424" spans="3:16" x14ac:dyDescent="0.3">
      <c r="C424" s="1050"/>
      <c r="D424" s="1050"/>
      <c r="E424" s="1050"/>
      <c r="F424" s="1050"/>
      <c r="G424" s="1050"/>
      <c r="H424" s="1050"/>
      <c r="I424" s="1050"/>
      <c r="J424" s="1050"/>
      <c r="K424" s="1050"/>
      <c r="L424" s="1050"/>
      <c r="M424" s="1050"/>
      <c r="N424" s="1050"/>
      <c r="O424" s="1050"/>
      <c r="P424" s="1050"/>
    </row>
    <row r="425" spans="3:16" x14ac:dyDescent="0.3">
      <c r="C425" s="1050"/>
      <c r="D425" s="1050"/>
      <c r="E425" s="1050"/>
      <c r="F425" s="1050"/>
      <c r="G425" s="1050"/>
      <c r="H425" s="1050"/>
      <c r="I425" s="1050"/>
      <c r="J425" s="1050"/>
      <c r="K425" s="1050"/>
      <c r="L425" s="1050"/>
      <c r="M425" s="1050"/>
      <c r="N425" s="1050"/>
      <c r="O425" s="1050"/>
      <c r="P425" s="1050"/>
    </row>
    <row r="426" spans="3:16" x14ac:dyDescent="0.3">
      <c r="C426" s="1050"/>
      <c r="D426" s="1050"/>
      <c r="E426" s="1050"/>
      <c r="F426" s="1050"/>
      <c r="G426" s="1050"/>
      <c r="H426" s="1050"/>
      <c r="I426" s="1050"/>
      <c r="J426" s="1050"/>
      <c r="K426" s="1050"/>
      <c r="L426" s="1050"/>
      <c r="M426" s="1050"/>
      <c r="N426" s="1050"/>
      <c r="O426" s="1050"/>
      <c r="P426" s="1050"/>
    </row>
    <row r="427" spans="3:16" x14ac:dyDescent="0.3">
      <c r="C427" s="1050"/>
      <c r="D427" s="1050"/>
      <c r="E427" s="1050"/>
      <c r="F427" s="1050"/>
      <c r="G427" s="1050"/>
      <c r="H427" s="1050"/>
      <c r="I427" s="1050"/>
      <c r="J427" s="1050"/>
      <c r="K427" s="1050"/>
      <c r="L427" s="1050"/>
      <c r="M427" s="1050"/>
      <c r="N427" s="1050"/>
      <c r="O427" s="1050"/>
      <c r="P427" s="1050"/>
    </row>
    <row r="428" spans="3:16" x14ac:dyDescent="0.3">
      <c r="C428" s="1050"/>
      <c r="D428" s="1050"/>
      <c r="E428" s="1050"/>
      <c r="F428" s="1050"/>
      <c r="G428" s="1050"/>
      <c r="H428" s="1050"/>
      <c r="I428" s="1050"/>
      <c r="J428" s="1050"/>
      <c r="K428" s="1050"/>
      <c r="L428" s="1050"/>
      <c r="M428" s="1050"/>
      <c r="N428" s="1050"/>
      <c r="O428" s="1050"/>
      <c r="P428" s="1050"/>
    </row>
    <row r="429" spans="3:16" x14ac:dyDescent="0.3">
      <c r="C429" s="1050"/>
      <c r="D429" s="1050"/>
      <c r="E429" s="1050"/>
      <c r="F429" s="1050"/>
      <c r="G429" s="1050"/>
      <c r="H429" s="1050"/>
      <c r="I429" s="1050"/>
      <c r="J429" s="1050"/>
      <c r="K429" s="1050"/>
      <c r="L429" s="1050"/>
      <c r="M429" s="1050"/>
      <c r="N429" s="1050"/>
      <c r="O429" s="1050"/>
      <c r="P429" s="1050"/>
    </row>
    <row r="430" spans="3:16" x14ac:dyDescent="0.3">
      <c r="C430" s="1050"/>
      <c r="D430" s="1050"/>
      <c r="E430" s="1050"/>
      <c r="F430" s="1050"/>
      <c r="G430" s="1050"/>
      <c r="H430" s="1050"/>
      <c r="I430" s="1050"/>
      <c r="J430" s="1050"/>
      <c r="K430" s="1050"/>
      <c r="L430" s="1050"/>
      <c r="M430" s="1050"/>
      <c r="N430" s="1050"/>
      <c r="O430" s="1050"/>
      <c r="P430" s="1050"/>
    </row>
    <row r="431" spans="3:16" x14ac:dyDescent="0.3">
      <c r="C431" s="1050"/>
      <c r="D431" s="1050"/>
      <c r="E431" s="1050"/>
      <c r="F431" s="1050"/>
      <c r="G431" s="1050"/>
      <c r="H431" s="1050"/>
      <c r="I431" s="1050"/>
      <c r="J431" s="1050"/>
      <c r="K431" s="1050"/>
      <c r="L431" s="1050"/>
      <c r="M431" s="1050"/>
      <c r="N431" s="1050"/>
      <c r="O431" s="1050"/>
      <c r="P431" s="1050"/>
    </row>
    <row r="432" spans="3:16" x14ac:dyDescent="0.3">
      <c r="C432" s="1050"/>
      <c r="D432" s="1050"/>
      <c r="E432" s="1050"/>
      <c r="F432" s="1050"/>
      <c r="G432" s="1050"/>
      <c r="H432" s="1050"/>
      <c r="I432" s="1050"/>
      <c r="J432" s="1050"/>
      <c r="K432" s="1050"/>
      <c r="L432" s="1050"/>
      <c r="M432" s="1050"/>
      <c r="N432" s="1050"/>
      <c r="O432" s="1050"/>
      <c r="P432" s="1050"/>
    </row>
    <row r="433" spans="3:16" x14ac:dyDescent="0.3">
      <c r="C433" s="1050"/>
      <c r="D433" s="1050"/>
      <c r="E433" s="1050"/>
      <c r="F433" s="1050"/>
      <c r="G433" s="1050"/>
      <c r="H433" s="1050"/>
      <c r="I433" s="1050"/>
      <c r="J433" s="1050"/>
      <c r="K433" s="1050"/>
      <c r="L433" s="1050"/>
      <c r="M433" s="1050"/>
      <c r="N433" s="1050"/>
      <c r="O433" s="1050"/>
      <c r="P433" s="1050"/>
    </row>
    <row r="434" spans="3:16" x14ac:dyDescent="0.3">
      <c r="C434" s="1050"/>
      <c r="D434" s="1050"/>
      <c r="E434" s="1050"/>
      <c r="F434" s="1050"/>
      <c r="G434" s="1050"/>
      <c r="H434" s="1050"/>
      <c r="I434" s="1050"/>
      <c r="J434" s="1050"/>
      <c r="K434" s="1050"/>
      <c r="L434" s="1050"/>
      <c r="M434" s="1072"/>
      <c r="N434" s="1050"/>
      <c r="O434" s="1050"/>
      <c r="P434" s="1050"/>
    </row>
    <row r="435" spans="3:16" x14ac:dyDescent="0.3">
      <c r="C435" s="1050"/>
      <c r="D435" s="1050"/>
      <c r="E435" s="1050"/>
      <c r="F435" s="1050"/>
      <c r="G435" s="1050"/>
      <c r="H435" s="1050"/>
      <c r="I435" s="1050"/>
      <c r="J435" s="1050"/>
      <c r="K435" s="1050"/>
      <c r="L435" s="1050"/>
      <c r="M435" s="1072"/>
      <c r="N435" s="1050"/>
      <c r="O435" s="1050"/>
      <c r="P435" s="1050"/>
    </row>
    <row r="436" spans="3:16" x14ac:dyDescent="0.3">
      <c r="C436" s="1050"/>
      <c r="D436" s="1050"/>
      <c r="E436" s="1050"/>
      <c r="F436" s="1050"/>
      <c r="G436" s="1050"/>
      <c r="H436" s="1050"/>
      <c r="I436" s="1050"/>
      <c r="J436" s="1050"/>
      <c r="K436" s="1050"/>
      <c r="L436" s="1050"/>
      <c r="M436" s="1072"/>
      <c r="N436" s="1050"/>
      <c r="O436" s="1050"/>
      <c r="P436" s="1050"/>
    </row>
    <row r="437" spans="3:16" x14ac:dyDescent="0.3">
      <c r="C437" s="1050"/>
      <c r="D437" s="1050"/>
      <c r="E437" s="1050"/>
      <c r="F437" s="1050"/>
      <c r="G437" s="1050"/>
      <c r="H437" s="1050"/>
      <c r="I437" s="1050"/>
      <c r="J437" s="1050"/>
      <c r="K437" s="1050"/>
      <c r="L437" s="1050"/>
      <c r="M437" s="1072"/>
      <c r="N437" s="1050"/>
      <c r="O437" s="1050"/>
      <c r="P437" s="1050"/>
    </row>
    <row r="438" spans="3:16" x14ac:dyDescent="0.3">
      <c r="C438" s="1050"/>
      <c r="D438" s="1050"/>
      <c r="E438" s="1050"/>
      <c r="F438" s="1050"/>
      <c r="G438" s="1050"/>
      <c r="H438" s="1050"/>
      <c r="I438" s="1050"/>
      <c r="J438" s="1050"/>
      <c r="K438" s="1050"/>
      <c r="L438" s="1050"/>
      <c r="M438" s="1072"/>
      <c r="N438" s="1050"/>
      <c r="O438" s="1050"/>
      <c r="P438" s="1050"/>
    </row>
    <row r="439" spans="3:16" x14ac:dyDescent="0.3">
      <c r="C439" s="1050"/>
      <c r="D439" s="1050"/>
      <c r="E439" s="1050"/>
      <c r="F439" s="1050"/>
      <c r="G439" s="1050"/>
      <c r="H439" s="1050"/>
      <c r="I439" s="1050"/>
      <c r="J439" s="1050"/>
      <c r="K439" s="1050"/>
      <c r="L439" s="1050"/>
      <c r="M439" s="1072"/>
      <c r="N439" s="1050"/>
      <c r="O439" s="1050"/>
      <c r="P439" s="1050"/>
    </row>
    <row r="440" spans="3:16" x14ac:dyDescent="0.3">
      <c r="C440" s="1050"/>
      <c r="D440" s="1050"/>
      <c r="E440" s="1050"/>
      <c r="F440" s="1050"/>
      <c r="G440" s="1050"/>
      <c r="H440" s="1050"/>
      <c r="I440" s="1050"/>
      <c r="J440" s="1050"/>
      <c r="K440" s="1050"/>
      <c r="L440" s="1050"/>
      <c r="M440" s="1072"/>
      <c r="N440" s="1050"/>
      <c r="O440" s="1050"/>
      <c r="P440" s="1050"/>
    </row>
    <row r="441" spans="3:16" x14ac:dyDescent="0.3">
      <c r="C441" s="1050"/>
      <c r="D441" s="1050"/>
      <c r="E441" s="1050"/>
      <c r="F441" s="1050"/>
      <c r="G441" s="1050"/>
      <c r="H441" s="1050"/>
      <c r="I441" s="1050"/>
      <c r="J441" s="1050"/>
      <c r="K441" s="1050"/>
      <c r="L441" s="1050"/>
      <c r="M441" s="1072"/>
      <c r="N441" s="1050"/>
      <c r="O441" s="1050"/>
      <c r="P441" s="1050"/>
    </row>
    <row r="442" spans="3:16" x14ac:dyDescent="0.3">
      <c r="C442" s="1050"/>
      <c r="D442" s="1050"/>
      <c r="E442" s="1050"/>
      <c r="F442" s="1050"/>
      <c r="G442" s="1050"/>
      <c r="H442" s="1050"/>
      <c r="I442" s="1050"/>
      <c r="J442" s="1050"/>
      <c r="K442" s="1050"/>
      <c r="L442" s="1050"/>
      <c r="M442" s="1072"/>
      <c r="N442" s="1050"/>
      <c r="O442" s="1050"/>
      <c r="P442" s="1050"/>
    </row>
    <row r="443" spans="3:16" x14ac:dyDescent="0.3">
      <c r="C443" s="1050"/>
      <c r="D443" s="1050"/>
      <c r="E443" s="1050"/>
      <c r="F443" s="1050"/>
      <c r="G443" s="1050"/>
      <c r="H443" s="1050"/>
      <c r="I443" s="1050"/>
      <c r="J443" s="1050"/>
      <c r="K443" s="1050"/>
      <c r="L443" s="1050"/>
      <c r="M443" s="1072"/>
      <c r="N443" s="1050"/>
      <c r="O443" s="1050"/>
      <c r="P443" s="1050"/>
    </row>
    <row r="444" spans="3:16" x14ac:dyDescent="0.3">
      <c r="C444" s="1050"/>
      <c r="D444" s="1050"/>
      <c r="E444" s="1050"/>
      <c r="F444" s="1050"/>
      <c r="G444" s="1050"/>
      <c r="H444" s="1050"/>
      <c r="I444" s="1050"/>
      <c r="J444" s="1050"/>
      <c r="K444" s="1050"/>
      <c r="L444" s="1050"/>
      <c r="M444" s="1072"/>
      <c r="N444" s="1050"/>
      <c r="O444" s="1050"/>
      <c r="P444" s="1050"/>
    </row>
    <row r="445" spans="3:16" x14ac:dyDescent="0.3">
      <c r="C445" s="1050"/>
      <c r="D445" s="1050"/>
      <c r="E445" s="1050"/>
      <c r="F445" s="1050"/>
      <c r="G445" s="1050"/>
      <c r="H445" s="1050"/>
      <c r="I445" s="1050"/>
      <c r="J445" s="1050"/>
      <c r="K445" s="1050"/>
      <c r="L445" s="1050"/>
      <c r="M445" s="1072"/>
      <c r="N445" s="1050"/>
      <c r="O445" s="1050"/>
      <c r="P445" s="1050"/>
    </row>
    <row r="446" spans="3:16" x14ac:dyDescent="0.3">
      <c r="C446" s="1050"/>
      <c r="D446" s="1050"/>
      <c r="E446" s="1050"/>
      <c r="F446" s="1050"/>
      <c r="G446" s="1050"/>
      <c r="H446" s="1050"/>
      <c r="I446" s="1050"/>
      <c r="J446" s="1050"/>
      <c r="K446" s="1050"/>
      <c r="L446" s="1050"/>
      <c r="M446" s="1072"/>
      <c r="N446" s="1050"/>
      <c r="O446" s="1050"/>
      <c r="P446" s="1050"/>
    </row>
    <row r="447" spans="3:16" x14ac:dyDescent="0.3">
      <c r="C447" s="1050"/>
      <c r="D447" s="1050"/>
      <c r="E447" s="1050"/>
      <c r="F447" s="1050"/>
      <c r="G447" s="1050"/>
      <c r="H447" s="1050"/>
      <c r="I447" s="1050"/>
      <c r="J447" s="1050"/>
      <c r="K447" s="1050"/>
      <c r="L447" s="1050"/>
      <c r="M447" s="1072"/>
      <c r="N447" s="1050"/>
      <c r="O447" s="1050"/>
      <c r="P447" s="1050"/>
    </row>
    <row r="448" spans="3:16" x14ac:dyDescent="0.3">
      <c r="C448" s="1050"/>
      <c r="D448" s="1050"/>
      <c r="E448" s="1050"/>
      <c r="F448" s="1050"/>
      <c r="G448" s="1050"/>
      <c r="H448" s="1050"/>
      <c r="I448" s="1050"/>
      <c r="J448" s="1050"/>
      <c r="K448" s="1050"/>
      <c r="L448" s="1050"/>
      <c r="M448" s="1072"/>
      <c r="N448" s="1050"/>
      <c r="O448" s="1050"/>
      <c r="P448" s="1050"/>
    </row>
    <row r="449" spans="3:16" x14ac:dyDescent="0.3">
      <c r="C449" s="1050"/>
      <c r="D449" s="1050"/>
      <c r="E449" s="1050"/>
      <c r="F449" s="1050"/>
      <c r="G449" s="1050"/>
      <c r="H449" s="1050"/>
      <c r="I449" s="1050"/>
      <c r="J449" s="1050"/>
      <c r="K449" s="1050"/>
      <c r="L449" s="1050"/>
      <c r="M449" s="1072"/>
      <c r="N449" s="1050"/>
      <c r="O449" s="1050"/>
      <c r="P449" s="1050"/>
    </row>
    <row r="450" spans="3:16" x14ac:dyDescent="0.3">
      <c r="C450" s="1050"/>
      <c r="D450" s="1050"/>
      <c r="E450" s="1050"/>
      <c r="F450" s="1050"/>
      <c r="G450" s="1050"/>
      <c r="H450" s="1050"/>
      <c r="I450" s="1050"/>
      <c r="J450" s="1050"/>
      <c r="K450" s="1050"/>
      <c r="L450" s="1050"/>
      <c r="M450" s="1072"/>
      <c r="N450" s="1050"/>
      <c r="O450" s="1050"/>
      <c r="P450" s="1050"/>
    </row>
    <row r="451" spans="3:16" x14ac:dyDescent="0.3">
      <c r="C451" s="1050"/>
      <c r="D451" s="1050"/>
      <c r="E451" s="1050"/>
      <c r="F451" s="1050"/>
      <c r="G451" s="1050"/>
      <c r="H451" s="1050"/>
      <c r="I451" s="1050"/>
      <c r="J451" s="1050"/>
      <c r="K451" s="1050"/>
      <c r="L451" s="1050"/>
      <c r="M451" s="1072"/>
      <c r="N451" s="1050"/>
      <c r="O451" s="1050"/>
      <c r="P451" s="1050"/>
    </row>
    <row r="452" spans="3:16" x14ac:dyDescent="0.3">
      <c r="C452" s="1050"/>
      <c r="D452" s="1050"/>
      <c r="E452" s="1050"/>
      <c r="F452" s="1050"/>
      <c r="G452" s="1050"/>
      <c r="H452" s="1050"/>
      <c r="I452" s="1050"/>
      <c r="J452" s="1050"/>
      <c r="K452" s="1050"/>
      <c r="L452" s="1050"/>
      <c r="M452" s="1072"/>
      <c r="N452" s="1050"/>
      <c r="O452" s="1050"/>
      <c r="P452" s="1050"/>
    </row>
    <row r="453" spans="3:16" x14ac:dyDescent="0.3">
      <c r="C453" s="1050"/>
      <c r="D453" s="1050"/>
      <c r="E453" s="1050"/>
      <c r="F453" s="1050"/>
      <c r="G453" s="1050"/>
      <c r="H453" s="1050"/>
      <c r="I453" s="1050"/>
      <c r="J453" s="1050"/>
      <c r="K453" s="1050"/>
      <c r="L453" s="1050"/>
      <c r="M453" s="1072"/>
      <c r="N453" s="1050"/>
      <c r="O453" s="1050"/>
      <c r="P453" s="1050"/>
    </row>
    <row r="454" spans="3:16" x14ac:dyDescent="0.3">
      <c r="C454" s="1050"/>
      <c r="D454" s="1050"/>
      <c r="E454" s="1050"/>
      <c r="F454" s="1050"/>
      <c r="G454" s="1050"/>
      <c r="H454" s="1050"/>
      <c r="I454" s="1050"/>
      <c r="J454" s="1050"/>
      <c r="K454" s="1050"/>
      <c r="L454" s="1050"/>
      <c r="M454" s="1072"/>
      <c r="N454" s="1050"/>
      <c r="O454" s="1050"/>
      <c r="P454" s="1050"/>
    </row>
    <row r="455" spans="3:16" x14ac:dyDescent="0.3">
      <c r="C455" s="1050"/>
      <c r="D455" s="1050"/>
      <c r="E455" s="1050"/>
      <c r="F455" s="1050"/>
      <c r="G455" s="1050"/>
      <c r="H455" s="1050"/>
      <c r="I455" s="1050"/>
      <c r="J455" s="1050"/>
      <c r="K455" s="1050"/>
      <c r="L455" s="1050"/>
      <c r="M455" s="1072"/>
      <c r="N455" s="1050"/>
      <c r="O455" s="1050"/>
      <c r="P455" s="1050"/>
    </row>
    <row r="456" spans="3:16" x14ac:dyDescent="0.3">
      <c r="C456" s="1050"/>
      <c r="D456" s="1050"/>
      <c r="E456" s="1050"/>
      <c r="F456" s="1050"/>
      <c r="G456" s="1050"/>
      <c r="H456" s="1050"/>
      <c r="I456" s="1050"/>
      <c r="J456" s="1050"/>
      <c r="K456" s="1050"/>
      <c r="L456" s="1050"/>
      <c r="M456" s="1072"/>
      <c r="N456" s="1050"/>
      <c r="O456" s="1050"/>
      <c r="P456" s="1050"/>
    </row>
    <row r="457" spans="3:16" x14ac:dyDescent="0.3">
      <c r="C457" s="1050"/>
      <c r="D457" s="1050"/>
      <c r="E457" s="1050"/>
      <c r="F457" s="1050"/>
      <c r="G457" s="1050"/>
      <c r="H457" s="1050"/>
      <c r="I457" s="1050"/>
      <c r="J457" s="1050"/>
      <c r="K457" s="1050"/>
      <c r="L457" s="1050"/>
      <c r="M457" s="1072"/>
      <c r="N457" s="1050"/>
      <c r="O457" s="1050"/>
      <c r="P457" s="1050"/>
    </row>
    <row r="458" spans="3:16" x14ac:dyDescent="0.3">
      <c r="C458" s="1050"/>
      <c r="D458" s="1050"/>
      <c r="E458" s="1050"/>
      <c r="F458" s="1050"/>
      <c r="G458" s="1050"/>
      <c r="H458" s="1050"/>
      <c r="I458" s="1050"/>
      <c r="J458" s="1050"/>
      <c r="K458" s="1050"/>
      <c r="L458" s="1050"/>
      <c r="M458" s="1072"/>
      <c r="N458" s="1050"/>
      <c r="O458" s="1050"/>
      <c r="P458" s="1050"/>
    </row>
    <row r="459" spans="3:16" x14ac:dyDescent="0.3">
      <c r="C459" s="1050"/>
      <c r="D459" s="1050"/>
      <c r="E459" s="1050"/>
      <c r="F459" s="1050"/>
      <c r="G459" s="1050"/>
      <c r="H459" s="1050"/>
      <c r="I459" s="1050"/>
      <c r="J459" s="1050"/>
      <c r="K459" s="1050"/>
      <c r="L459" s="1050"/>
      <c r="M459" s="1072"/>
      <c r="N459" s="1050"/>
      <c r="O459" s="1050"/>
      <c r="P459" s="1050"/>
    </row>
    <row r="460" spans="3:16" x14ac:dyDescent="0.3">
      <c r="C460" s="1050"/>
      <c r="D460" s="1050"/>
      <c r="E460" s="1050"/>
      <c r="F460" s="1050"/>
      <c r="G460" s="1050"/>
      <c r="H460" s="1050"/>
      <c r="I460" s="1050"/>
      <c r="J460" s="1050"/>
      <c r="K460" s="1050"/>
      <c r="L460" s="1050"/>
      <c r="M460" s="1072"/>
      <c r="N460" s="1050"/>
      <c r="O460" s="1050"/>
      <c r="P460" s="1050"/>
    </row>
    <row r="461" spans="3:16" x14ac:dyDescent="0.3">
      <c r="C461" s="1050"/>
      <c r="D461" s="1050"/>
      <c r="E461" s="1050"/>
      <c r="F461" s="1050"/>
      <c r="G461" s="1050"/>
      <c r="H461" s="1050"/>
      <c r="I461" s="1050"/>
      <c r="J461" s="1050"/>
      <c r="K461" s="1050"/>
      <c r="L461" s="1050"/>
      <c r="M461" s="1072"/>
      <c r="N461" s="1050"/>
      <c r="O461" s="1050"/>
      <c r="P461" s="1050"/>
    </row>
    <row r="462" spans="3:16" x14ac:dyDescent="0.3">
      <c r="C462" s="1050"/>
      <c r="D462" s="1050"/>
      <c r="E462" s="1050"/>
      <c r="F462" s="1050"/>
      <c r="G462" s="1050"/>
      <c r="H462" s="1050"/>
      <c r="I462" s="1050"/>
      <c r="J462" s="1050"/>
      <c r="K462" s="1050"/>
      <c r="L462" s="1050"/>
      <c r="M462" s="1072"/>
      <c r="N462" s="1050"/>
      <c r="O462" s="1050"/>
      <c r="P462" s="1050"/>
    </row>
    <row r="463" spans="3:16" x14ac:dyDescent="0.3">
      <c r="C463" s="1050"/>
      <c r="D463" s="1050"/>
      <c r="E463" s="1050"/>
      <c r="F463" s="1050"/>
      <c r="G463" s="1050"/>
      <c r="H463" s="1050"/>
      <c r="I463" s="1050"/>
      <c r="J463" s="1050"/>
      <c r="K463" s="1050"/>
      <c r="L463" s="1050"/>
      <c r="M463" s="1072"/>
      <c r="N463" s="1050"/>
      <c r="O463" s="1050"/>
      <c r="P463" s="1050"/>
    </row>
    <row r="464" spans="3:16" x14ac:dyDescent="0.3">
      <c r="C464" s="1050"/>
      <c r="D464" s="1050"/>
      <c r="E464" s="1050"/>
      <c r="F464" s="1050"/>
      <c r="G464" s="1050"/>
      <c r="H464" s="1050"/>
      <c r="I464" s="1050"/>
      <c r="J464" s="1050"/>
      <c r="K464" s="1050"/>
      <c r="L464" s="1050"/>
      <c r="M464" s="1072"/>
      <c r="N464" s="1050"/>
      <c r="O464" s="1050"/>
      <c r="P464" s="1050"/>
    </row>
    <row r="465" spans="3:16" x14ac:dyDescent="0.3">
      <c r="C465" s="1050"/>
      <c r="D465" s="1050"/>
      <c r="E465" s="1050"/>
      <c r="F465" s="1050"/>
      <c r="G465" s="1050"/>
      <c r="H465" s="1050"/>
      <c r="I465" s="1050"/>
      <c r="J465" s="1050"/>
      <c r="K465" s="1050"/>
      <c r="L465" s="1050"/>
      <c r="M465" s="1072"/>
      <c r="N465" s="1050"/>
      <c r="O465" s="1050"/>
      <c r="P465" s="1050"/>
    </row>
    <row r="466" spans="3:16" x14ac:dyDescent="0.3">
      <c r="C466" s="1050"/>
      <c r="D466" s="1050"/>
      <c r="E466" s="1050"/>
      <c r="F466" s="1050"/>
      <c r="G466" s="1050"/>
      <c r="H466" s="1050"/>
      <c r="I466" s="1050"/>
      <c r="J466" s="1050"/>
      <c r="K466" s="1050"/>
      <c r="L466" s="1050"/>
      <c r="M466" s="1072"/>
      <c r="N466" s="1050"/>
      <c r="O466" s="1050"/>
      <c r="P466" s="1050"/>
    </row>
    <row r="467" spans="3:16" x14ac:dyDescent="0.3">
      <c r="C467" s="1050"/>
      <c r="D467" s="1050"/>
      <c r="E467" s="1050"/>
      <c r="F467" s="1050"/>
      <c r="G467" s="1050"/>
      <c r="H467" s="1050"/>
      <c r="I467" s="1050"/>
      <c r="J467" s="1050"/>
      <c r="K467" s="1050"/>
      <c r="L467" s="1050"/>
      <c r="M467" s="1072"/>
      <c r="N467" s="1050"/>
      <c r="O467" s="1050"/>
      <c r="P467" s="1050"/>
    </row>
    <row r="468" spans="3:16" x14ac:dyDescent="0.3">
      <c r="C468" s="1050"/>
      <c r="D468" s="1050"/>
      <c r="E468" s="1050"/>
      <c r="F468" s="1050"/>
      <c r="G468" s="1050"/>
      <c r="H468" s="1050"/>
      <c r="I468" s="1050"/>
      <c r="J468" s="1050"/>
      <c r="K468" s="1050"/>
      <c r="L468" s="1050"/>
      <c r="M468" s="1072"/>
      <c r="N468" s="1050"/>
      <c r="O468" s="1050"/>
      <c r="P468" s="1050"/>
    </row>
    <row r="469" spans="3:16" x14ac:dyDescent="0.3">
      <c r="C469" s="1050"/>
      <c r="D469" s="1050"/>
      <c r="E469" s="1050"/>
      <c r="F469" s="1050"/>
      <c r="G469" s="1050"/>
      <c r="H469" s="1050"/>
      <c r="I469" s="1050"/>
      <c r="J469" s="1050"/>
      <c r="K469" s="1050"/>
      <c r="L469" s="1050"/>
      <c r="M469" s="1072"/>
      <c r="N469" s="1050"/>
      <c r="O469" s="1050"/>
      <c r="P469" s="1050"/>
    </row>
    <row r="470" spans="3:16" x14ac:dyDescent="0.3">
      <c r="C470" s="1050"/>
      <c r="D470" s="1050"/>
      <c r="E470" s="1050"/>
      <c r="F470" s="1050"/>
      <c r="G470" s="1050"/>
      <c r="H470" s="1050"/>
      <c r="I470" s="1050"/>
      <c r="J470" s="1050"/>
      <c r="K470" s="1050"/>
      <c r="L470" s="1050"/>
      <c r="M470" s="1072"/>
      <c r="N470" s="1050"/>
      <c r="O470" s="1050"/>
      <c r="P470" s="1050"/>
    </row>
    <row r="471" spans="3:16" x14ac:dyDescent="0.3">
      <c r="C471" s="1050"/>
      <c r="D471" s="1050"/>
      <c r="E471" s="1050"/>
      <c r="F471" s="1050"/>
      <c r="G471" s="1050"/>
      <c r="H471" s="1050"/>
      <c r="I471" s="1050"/>
      <c r="J471" s="1050"/>
      <c r="K471" s="1050"/>
      <c r="L471" s="1050"/>
      <c r="M471" s="1072"/>
      <c r="N471" s="1050"/>
      <c r="O471" s="1050"/>
      <c r="P471" s="1050"/>
    </row>
    <row r="472" spans="3:16" x14ac:dyDescent="0.3">
      <c r="C472" s="1050"/>
      <c r="D472" s="1050"/>
      <c r="E472" s="1050"/>
      <c r="F472" s="1050"/>
      <c r="G472" s="1050"/>
      <c r="H472" s="1050"/>
      <c r="I472" s="1050"/>
      <c r="J472" s="1050"/>
      <c r="K472" s="1050"/>
      <c r="L472" s="1050"/>
      <c r="M472" s="1072"/>
      <c r="N472" s="1050"/>
      <c r="O472" s="1050"/>
      <c r="P472" s="1050"/>
    </row>
    <row r="473" spans="3:16" x14ac:dyDescent="0.3">
      <c r="C473" s="1050"/>
      <c r="D473" s="1050"/>
      <c r="E473" s="1050"/>
      <c r="F473" s="1050"/>
      <c r="G473" s="1050"/>
      <c r="H473" s="1050"/>
      <c r="I473" s="1050"/>
      <c r="J473" s="1050"/>
      <c r="K473" s="1050"/>
      <c r="L473" s="1050"/>
      <c r="M473" s="1072"/>
      <c r="N473" s="1050"/>
      <c r="O473" s="1050"/>
      <c r="P473" s="1050"/>
    </row>
    <row r="474" spans="3:16" x14ac:dyDescent="0.3">
      <c r="C474" s="1050"/>
      <c r="D474" s="1050"/>
      <c r="E474" s="1050"/>
      <c r="F474" s="1050"/>
      <c r="G474" s="1050"/>
      <c r="H474" s="1050"/>
      <c r="I474" s="1050"/>
      <c r="J474" s="1050"/>
      <c r="K474" s="1050"/>
      <c r="L474" s="1050"/>
      <c r="M474" s="1072"/>
      <c r="N474" s="1050"/>
      <c r="O474" s="1050"/>
      <c r="P474" s="1050"/>
    </row>
    <row r="475" spans="3:16" x14ac:dyDescent="0.3">
      <c r="C475" s="1050"/>
      <c r="D475" s="1050"/>
      <c r="E475" s="1050"/>
      <c r="F475" s="1050"/>
      <c r="G475" s="1050"/>
      <c r="H475" s="1050"/>
      <c r="I475" s="1050"/>
      <c r="J475" s="1050"/>
      <c r="K475" s="1050"/>
      <c r="L475" s="1050"/>
      <c r="M475" s="1072"/>
      <c r="N475" s="1050"/>
      <c r="O475" s="1050"/>
      <c r="P475" s="1050"/>
    </row>
    <row r="476" spans="3:16" x14ac:dyDescent="0.3">
      <c r="C476" s="1050"/>
      <c r="D476" s="1050"/>
      <c r="E476" s="1050"/>
      <c r="F476" s="1050"/>
      <c r="G476" s="1050"/>
      <c r="H476" s="1050"/>
      <c r="I476" s="1050"/>
      <c r="J476" s="1050"/>
      <c r="K476" s="1050"/>
      <c r="L476" s="1050"/>
      <c r="M476" s="1072"/>
      <c r="N476" s="1050"/>
      <c r="O476" s="1050"/>
      <c r="P476" s="1050"/>
    </row>
    <row r="477" spans="3:16" x14ac:dyDescent="0.3">
      <c r="C477" s="1050"/>
      <c r="D477" s="1050"/>
      <c r="E477" s="1050"/>
      <c r="F477" s="1050"/>
      <c r="G477" s="1050"/>
      <c r="H477" s="1050"/>
      <c r="I477" s="1050"/>
      <c r="J477" s="1050"/>
      <c r="K477" s="1050"/>
      <c r="L477" s="1050"/>
      <c r="M477" s="1072"/>
      <c r="N477" s="1050"/>
      <c r="O477" s="1050"/>
      <c r="P477" s="1050"/>
    </row>
    <row r="478" spans="3:16" x14ac:dyDescent="0.3">
      <c r="C478" s="1050"/>
      <c r="D478" s="1050"/>
      <c r="E478" s="1050"/>
      <c r="F478" s="1050"/>
      <c r="G478" s="1050"/>
      <c r="H478" s="1050"/>
      <c r="I478" s="1050"/>
      <c r="J478" s="1050"/>
      <c r="K478" s="1050"/>
      <c r="L478" s="1050"/>
      <c r="M478" s="1072"/>
      <c r="N478" s="1050"/>
      <c r="O478" s="1050"/>
      <c r="P478" s="1050"/>
    </row>
    <row r="479" spans="3:16" x14ac:dyDescent="0.3">
      <c r="C479" s="1050"/>
      <c r="D479" s="1050"/>
      <c r="E479" s="1050"/>
      <c r="F479" s="1050"/>
      <c r="G479" s="1050"/>
      <c r="H479" s="1050"/>
      <c r="I479" s="1050"/>
      <c r="J479" s="1050"/>
      <c r="K479" s="1050"/>
      <c r="L479" s="1050"/>
      <c r="M479" s="1072"/>
      <c r="N479" s="1050"/>
      <c r="O479" s="1050"/>
      <c r="P479" s="1050"/>
    </row>
    <row r="480" spans="3:16" x14ac:dyDescent="0.3">
      <c r="C480" s="1050"/>
      <c r="D480" s="1050"/>
      <c r="E480" s="1050"/>
      <c r="F480" s="1050"/>
      <c r="G480" s="1050"/>
      <c r="H480" s="1050"/>
      <c r="I480" s="1050"/>
      <c r="J480" s="1050"/>
      <c r="K480" s="1050"/>
      <c r="L480" s="1050"/>
      <c r="M480" s="1072"/>
      <c r="N480" s="1050"/>
      <c r="O480" s="1050"/>
      <c r="P480" s="1050"/>
    </row>
    <row r="481" spans="3:16" x14ac:dyDescent="0.3">
      <c r="C481" s="1050"/>
      <c r="D481" s="1050"/>
      <c r="E481" s="1050"/>
      <c r="F481" s="1050"/>
      <c r="G481" s="1050"/>
      <c r="H481" s="1050"/>
      <c r="I481" s="1050"/>
      <c r="J481" s="1050"/>
      <c r="K481" s="1050"/>
      <c r="L481" s="1050"/>
      <c r="M481" s="1072"/>
      <c r="N481" s="1050"/>
      <c r="O481" s="1050"/>
      <c r="P481" s="1050"/>
    </row>
    <row r="482" spans="3:16" x14ac:dyDescent="0.3">
      <c r="C482" s="1050"/>
      <c r="D482" s="1050"/>
      <c r="E482" s="1050"/>
      <c r="F482" s="1050"/>
      <c r="G482" s="1050"/>
      <c r="H482" s="1050"/>
      <c r="I482" s="1050"/>
      <c r="J482" s="1050"/>
      <c r="K482" s="1050"/>
      <c r="L482" s="1050"/>
      <c r="M482" s="1072"/>
      <c r="N482" s="1050"/>
      <c r="O482" s="1050"/>
      <c r="P482" s="1050"/>
    </row>
    <row r="483" spans="3:16" x14ac:dyDescent="0.3">
      <c r="C483" s="1050"/>
      <c r="D483" s="1050"/>
      <c r="E483" s="1050"/>
      <c r="F483" s="1050"/>
      <c r="G483" s="1050"/>
      <c r="H483" s="1050"/>
      <c r="I483" s="1050"/>
      <c r="J483" s="1050"/>
      <c r="K483" s="1050"/>
      <c r="L483" s="1050"/>
      <c r="M483" s="1072"/>
      <c r="N483" s="1050"/>
      <c r="O483" s="1050"/>
      <c r="P483" s="1050"/>
    </row>
    <row r="484" spans="3:16" x14ac:dyDescent="0.3">
      <c r="C484" s="1050"/>
      <c r="D484" s="1050"/>
      <c r="E484" s="1050"/>
      <c r="F484" s="1050"/>
      <c r="G484" s="1050"/>
      <c r="H484" s="1050"/>
      <c r="I484" s="1050"/>
      <c r="J484" s="1050"/>
      <c r="K484" s="1050"/>
      <c r="L484" s="1050"/>
      <c r="M484" s="1072"/>
      <c r="N484" s="1050"/>
      <c r="O484" s="1050"/>
      <c r="P484" s="1050"/>
    </row>
    <row r="485" spans="3:16" x14ac:dyDescent="0.3">
      <c r="C485" s="1050"/>
      <c r="D485" s="1050"/>
      <c r="E485" s="1050"/>
      <c r="F485" s="1050"/>
      <c r="G485" s="1050"/>
      <c r="H485" s="1050"/>
      <c r="I485" s="1050"/>
      <c r="J485" s="1050"/>
      <c r="K485" s="1050"/>
      <c r="L485" s="1050"/>
      <c r="M485" s="1072"/>
      <c r="N485" s="1050"/>
      <c r="O485" s="1050"/>
      <c r="P485" s="1050"/>
    </row>
    <row r="486" spans="3:16" x14ac:dyDescent="0.3">
      <c r="C486" s="1050"/>
      <c r="D486" s="1050"/>
      <c r="E486" s="1050"/>
      <c r="F486" s="1050"/>
      <c r="G486" s="1050"/>
      <c r="H486" s="1050"/>
      <c r="I486" s="1050"/>
      <c r="J486" s="1050"/>
      <c r="K486" s="1050"/>
      <c r="L486" s="1050"/>
      <c r="M486" s="1072"/>
      <c r="N486" s="1050"/>
      <c r="O486" s="1050"/>
      <c r="P486" s="1050"/>
    </row>
    <row r="487" spans="3:16" x14ac:dyDescent="0.3">
      <c r="C487" s="1050"/>
      <c r="D487" s="1050"/>
      <c r="E487" s="1050"/>
      <c r="F487" s="1050"/>
      <c r="G487" s="1050"/>
      <c r="H487" s="1050"/>
      <c r="I487" s="1050"/>
      <c r="J487" s="1050"/>
      <c r="K487" s="1050"/>
      <c r="L487" s="1050"/>
      <c r="M487" s="1072"/>
      <c r="N487" s="1050"/>
      <c r="O487" s="1050"/>
      <c r="P487" s="1050"/>
    </row>
    <row r="488" spans="3:16" x14ac:dyDescent="0.3">
      <c r="C488" s="1050"/>
      <c r="D488" s="1050"/>
      <c r="E488" s="1050"/>
      <c r="F488" s="1050"/>
      <c r="G488" s="1050"/>
      <c r="H488" s="1050"/>
      <c r="I488" s="1050"/>
      <c r="J488" s="1050"/>
      <c r="K488" s="1050"/>
      <c r="L488" s="1050"/>
      <c r="M488" s="1072"/>
      <c r="N488" s="1050"/>
      <c r="O488" s="1050"/>
      <c r="P488" s="1050"/>
    </row>
    <row r="489" spans="3:16" x14ac:dyDescent="0.3">
      <c r="C489" s="1050"/>
      <c r="D489" s="1050"/>
      <c r="E489" s="1050"/>
      <c r="F489" s="1050"/>
      <c r="G489" s="1050"/>
      <c r="H489" s="1050"/>
      <c r="I489" s="1050"/>
      <c r="J489" s="1050"/>
      <c r="K489" s="1050"/>
      <c r="L489" s="1050"/>
      <c r="M489" s="1072"/>
      <c r="N489" s="1050"/>
      <c r="O489" s="1050"/>
      <c r="P489" s="1050"/>
    </row>
    <row r="490" spans="3:16" x14ac:dyDescent="0.3">
      <c r="C490" s="1050"/>
      <c r="D490" s="1050"/>
      <c r="E490" s="1050"/>
      <c r="F490" s="1050"/>
      <c r="G490" s="1050"/>
      <c r="H490" s="1050"/>
      <c r="I490" s="1050"/>
      <c r="J490" s="1050"/>
      <c r="K490" s="1050"/>
      <c r="L490" s="1050"/>
      <c r="M490" s="1072"/>
      <c r="N490" s="1050"/>
      <c r="O490" s="1050"/>
      <c r="P490" s="1050"/>
    </row>
    <row r="491" spans="3:16" x14ac:dyDescent="0.3">
      <c r="C491" s="1050"/>
      <c r="D491" s="1050"/>
      <c r="E491" s="1050"/>
      <c r="F491" s="1050"/>
      <c r="G491" s="1050"/>
      <c r="H491" s="1050"/>
      <c r="I491" s="1050"/>
      <c r="J491" s="1050"/>
      <c r="K491" s="1050"/>
      <c r="L491" s="1050"/>
      <c r="M491" s="1072"/>
      <c r="N491" s="1050"/>
      <c r="O491" s="1050"/>
      <c r="P491" s="1050"/>
    </row>
    <row r="492" spans="3:16" x14ac:dyDescent="0.3">
      <c r="C492" s="1050"/>
      <c r="D492" s="1050"/>
      <c r="E492" s="1050"/>
      <c r="F492" s="1050"/>
      <c r="G492" s="1050"/>
      <c r="H492" s="1050"/>
      <c r="I492" s="1050"/>
      <c r="J492" s="1050"/>
      <c r="K492" s="1050"/>
      <c r="L492" s="1050"/>
      <c r="M492" s="1072"/>
      <c r="N492" s="1050"/>
      <c r="O492" s="1050"/>
      <c r="P492" s="1050"/>
    </row>
    <row r="493" spans="3:16" x14ac:dyDescent="0.3">
      <c r="C493" s="1050"/>
      <c r="D493" s="1050"/>
      <c r="E493" s="1050"/>
      <c r="F493" s="1050"/>
      <c r="G493" s="1050"/>
      <c r="H493" s="1050"/>
      <c r="I493" s="1050"/>
      <c r="J493" s="1050"/>
      <c r="K493" s="1050"/>
      <c r="L493" s="1050"/>
      <c r="M493" s="1072"/>
      <c r="N493" s="1050"/>
      <c r="O493" s="1050"/>
      <c r="P493" s="1050"/>
    </row>
    <row r="494" spans="3:16" x14ac:dyDescent="0.3">
      <c r="C494" s="1050"/>
      <c r="D494" s="1050"/>
      <c r="E494" s="1050"/>
      <c r="F494" s="1050"/>
      <c r="G494" s="1050"/>
      <c r="H494" s="1050"/>
      <c r="I494" s="1050"/>
      <c r="J494" s="1050"/>
      <c r="K494" s="1050"/>
      <c r="L494" s="1050"/>
      <c r="M494" s="1072"/>
      <c r="N494" s="1050"/>
      <c r="O494" s="1050"/>
      <c r="P494" s="1050"/>
    </row>
    <row r="495" spans="3:16" x14ac:dyDescent="0.3">
      <c r="C495" s="1050"/>
      <c r="D495" s="1050"/>
      <c r="E495" s="1050"/>
      <c r="F495" s="1050"/>
      <c r="G495" s="1050"/>
      <c r="H495" s="1050"/>
      <c r="I495" s="1050"/>
      <c r="J495" s="1050"/>
      <c r="K495" s="1050"/>
      <c r="L495" s="1050"/>
      <c r="M495" s="1072"/>
      <c r="N495" s="1050"/>
      <c r="O495" s="1050"/>
      <c r="P495" s="1050"/>
    </row>
    <row r="496" spans="3:16" x14ac:dyDescent="0.3">
      <c r="C496" s="1050"/>
      <c r="D496" s="1050"/>
      <c r="E496" s="1050"/>
      <c r="F496" s="1050"/>
      <c r="G496" s="1050"/>
      <c r="H496" s="1050"/>
      <c r="I496" s="1050"/>
      <c r="J496" s="1050"/>
      <c r="K496" s="1050"/>
      <c r="L496" s="1050"/>
      <c r="M496" s="1072"/>
      <c r="N496" s="1050"/>
      <c r="O496" s="1050"/>
      <c r="P496" s="1050"/>
    </row>
    <row r="497" spans="3:16" x14ac:dyDescent="0.3">
      <c r="C497" s="1050"/>
      <c r="D497" s="1050"/>
      <c r="E497" s="1050"/>
      <c r="F497" s="1050"/>
      <c r="G497" s="1050"/>
      <c r="H497" s="1050"/>
      <c r="I497" s="1050"/>
      <c r="J497" s="1050"/>
      <c r="K497" s="1050"/>
      <c r="L497" s="1050"/>
      <c r="M497" s="1072"/>
      <c r="N497" s="1050"/>
      <c r="O497" s="1050"/>
      <c r="P497" s="1050"/>
    </row>
    <row r="498" spans="3:16" x14ac:dyDescent="0.3">
      <c r="C498" s="1050"/>
      <c r="D498" s="1050"/>
      <c r="E498" s="1050"/>
      <c r="F498" s="1050"/>
      <c r="G498" s="1050"/>
      <c r="H498" s="1050"/>
      <c r="I498" s="1050"/>
      <c r="J498" s="1050"/>
      <c r="K498" s="1050"/>
      <c r="L498" s="1050"/>
      <c r="M498" s="1072"/>
      <c r="N498" s="1050"/>
      <c r="O498" s="1050"/>
      <c r="P498" s="1050"/>
    </row>
    <row r="499" spans="3:16" x14ac:dyDescent="0.3">
      <c r="C499" s="1050"/>
      <c r="D499" s="1050"/>
      <c r="E499" s="1050"/>
      <c r="F499" s="1050"/>
      <c r="G499" s="1050"/>
      <c r="H499" s="1050"/>
      <c r="I499" s="1050"/>
      <c r="J499" s="1050"/>
      <c r="K499" s="1050"/>
      <c r="L499" s="1050"/>
      <c r="M499" s="1072"/>
      <c r="N499" s="1050"/>
      <c r="O499" s="1050"/>
      <c r="P499" s="1050"/>
    </row>
    <row r="500" spans="3:16" x14ac:dyDescent="0.3">
      <c r="C500" s="1050"/>
      <c r="D500" s="1050"/>
      <c r="E500" s="1050"/>
      <c r="F500" s="1050"/>
      <c r="G500" s="1050"/>
      <c r="H500" s="1050"/>
      <c r="I500" s="1050"/>
      <c r="J500" s="1050"/>
      <c r="K500" s="1050"/>
      <c r="L500" s="1050"/>
      <c r="M500" s="1072"/>
      <c r="N500" s="1050"/>
      <c r="O500" s="1050"/>
      <c r="P500" s="1050"/>
    </row>
    <row r="501" spans="3:16" x14ac:dyDescent="0.3">
      <c r="C501" s="1050"/>
      <c r="D501" s="1050"/>
      <c r="E501" s="1050"/>
      <c r="F501" s="1050"/>
      <c r="G501" s="1050"/>
      <c r="H501" s="1050"/>
      <c r="I501" s="1050"/>
      <c r="J501" s="1050"/>
      <c r="K501" s="1050"/>
      <c r="L501" s="1050"/>
      <c r="M501" s="1072"/>
      <c r="N501" s="1050"/>
      <c r="O501" s="1050"/>
      <c r="P501" s="1050"/>
    </row>
    <row r="502" spans="3:16" x14ac:dyDescent="0.3">
      <c r="C502" s="1050"/>
      <c r="D502" s="1050"/>
      <c r="E502" s="1050"/>
      <c r="F502" s="1050"/>
      <c r="G502" s="1050"/>
      <c r="H502" s="1050"/>
      <c r="I502" s="1050"/>
      <c r="J502" s="1050"/>
      <c r="K502" s="1050"/>
      <c r="L502" s="1050"/>
      <c r="M502" s="1072"/>
      <c r="N502" s="1050"/>
      <c r="O502" s="1050"/>
      <c r="P502" s="1050"/>
    </row>
    <row r="503" spans="3:16" x14ac:dyDescent="0.3">
      <c r="C503" s="1050"/>
      <c r="D503" s="1050"/>
      <c r="E503" s="1050"/>
      <c r="F503" s="1050"/>
      <c r="G503" s="1050"/>
      <c r="H503" s="1050"/>
      <c r="I503" s="1050"/>
      <c r="J503" s="1050"/>
      <c r="K503" s="1050"/>
      <c r="L503" s="1050"/>
      <c r="M503" s="1072"/>
      <c r="N503" s="1050"/>
      <c r="O503" s="1050"/>
      <c r="P503" s="1050"/>
    </row>
    <row r="504" spans="3:16" x14ac:dyDescent="0.3">
      <c r="C504" s="1050"/>
      <c r="D504" s="1050"/>
      <c r="E504" s="1050"/>
      <c r="F504" s="1050"/>
      <c r="G504" s="1050"/>
      <c r="H504" s="1050"/>
      <c r="I504" s="1050"/>
      <c r="J504" s="1050"/>
      <c r="K504" s="1050"/>
      <c r="L504" s="1050"/>
      <c r="M504" s="1072"/>
      <c r="N504" s="1050"/>
      <c r="O504" s="1050"/>
      <c r="P504" s="1050"/>
    </row>
    <row r="505" spans="3:16" x14ac:dyDescent="0.3">
      <c r="C505" s="1050"/>
      <c r="D505" s="1050"/>
      <c r="E505" s="1050"/>
      <c r="F505" s="1050"/>
      <c r="G505" s="1050"/>
      <c r="H505" s="1050"/>
      <c r="I505" s="1050"/>
      <c r="J505" s="1050"/>
      <c r="K505" s="1050"/>
      <c r="L505" s="1050"/>
      <c r="M505" s="1072"/>
      <c r="N505" s="1050"/>
      <c r="O505" s="1050"/>
      <c r="P505" s="1050"/>
    </row>
    <row r="506" spans="3:16" x14ac:dyDescent="0.3">
      <c r="C506" s="1050"/>
      <c r="D506" s="1050"/>
      <c r="E506" s="1050"/>
      <c r="F506" s="1050"/>
      <c r="G506" s="1050"/>
      <c r="H506" s="1050"/>
      <c r="I506" s="1050"/>
      <c r="J506" s="1050"/>
      <c r="K506" s="1050"/>
      <c r="L506" s="1050"/>
      <c r="M506" s="1072"/>
      <c r="N506" s="1050"/>
      <c r="O506" s="1050"/>
      <c r="P506" s="1050"/>
    </row>
    <row r="507" spans="3:16" x14ac:dyDescent="0.3">
      <c r="C507" s="1050"/>
      <c r="D507" s="1050"/>
      <c r="E507" s="1050"/>
      <c r="F507" s="1050"/>
      <c r="G507" s="1050"/>
      <c r="H507" s="1050"/>
      <c r="I507" s="1050"/>
      <c r="J507" s="1050"/>
      <c r="K507" s="1050"/>
      <c r="L507" s="1050"/>
      <c r="M507" s="1072"/>
      <c r="N507" s="1050"/>
      <c r="O507" s="1050"/>
      <c r="P507" s="1050"/>
    </row>
    <row r="508" spans="3:16" x14ac:dyDescent="0.3">
      <c r="C508" s="1050"/>
      <c r="D508" s="1050"/>
      <c r="E508" s="1050"/>
      <c r="F508" s="1050"/>
      <c r="G508" s="1050"/>
      <c r="H508" s="1050"/>
      <c r="I508" s="1050"/>
      <c r="J508" s="1050"/>
      <c r="K508" s="1050"/>
      <c r="L508" s="1050"/>
      <c r="M508" s="1072"/>
      <c r="N508" s="1050"/>
      <c r="O508" s="1050"/>
      <c r="P508" s="1050"/>
    </row>
    <row r="509" spans="3:16" x14ac:dyDescent="0.3">
      <c r="C509" s="1050"/>
      <c r="D509" s="1050"/>
      <c r="E509" s="1050"/>
      <c r="F509" s="1050"/>
      <c r="G509" s="1050"/>
      <c r="H509" s="1050"/>
      <c r="I509" s="1050"/>
      <c r="J509" s="1050"/>
      <c r="K509" s="1050"/>
      <c r="L509" s="1050"/>
      <c r="M509" s="1072"/>
      <c r="N509" s="1050"/>
      <c r="O509" s="1050"/>
      <c r="P509" s="1050"/>
    </row>
    <row r="510" spans="3:16" x14ac:dyDescent="0.3">
      <c r="C510" s="1050"/>
      <c r="D510" s="1050"/>
      <c r="E510" s="1050"/>
      <c r="F510" s="1050"/>
      <c r="G510" s="1050"/>
      <c r="H510" s="1050"/>
      <c r="I510" s="1050"/>
      <c r="J510" s="1050"/>
      <c r="K510" s="1050"/>
      <c r="L510" s="1050"/>
      <c r="M510" s="1072"/>
      <c r="N510" s="1050"/>
      <c r="O510" s="1050"/>
      <c r="P510" s="1050"/>
    </row>
    <row r="511" spans="3:16" x14ac:dyDescent="0.3">
      <c r="C511" s="1050"/>
      <c r="D511" s="1050"/>
      <c r="E511" s="1050"/>
      <c r="F511" s="1050"/>
      <c r="G511" s="1050"/>
      <c r="H511" s="1050"/>
      <c r="I511" s="1050"/>
      <c r="J511" s="1050"/>
      <c r="K511" s="1050"/>
      <c r="L511" s="1050"/>
      <c r="M511" s="1072"/>
      <c r="N511" s="1050"/>
      <c r="O511" s="1050"/>
      <c r="P511" s="1050"/>
    </row>
    <row r="512" spans="3:16" x14ac:dyDescent="0.3">
      <c r="C512" s="1050"/>
      <c r="D512" s="1050"/>
      <c r="E512" s="1050"/>
      <c r="F512" s="1050"/>
      <c r="G512" s="1050"/>
      <c r="H512" s="1050"/>
      <c r="I512" s="1050"/>
      <c r="J512" s="1050"/>
      <c r="K512" s="1050"/>
      <c r="L512" s="1050"/>
      <c r="M512" s="1072"/>
      <c r="N512" s="1050"/>
      <c r="O512" s="1050"/>
      <c r="P512" s="1050"/>
    </row>
    <row r="513" spans="3:16" x14ac:dyDescent="0.3">
      <c r="C513" s="1050"/>
      <c r="D513" s="1050"/>
      <c r="E513" s="1050"/>
      <c r="F513" s="1050"/>
      <c r="G513" s="1050"/>
      <c r="H513" s="1050"/>
      <c r="I513" s="1050"/>
      <c r="J513" s="1050"/>
      <c r="K513" s="1050"/>
      <c r="L513" s="1050"/>
      <c r="M513" s="1072"/>
      <c r="N513" s="1050"/>
      <c r="O513" s="1050"/>
      <c r="P513" s="1050"/>
    </row>
    <row r="514" spans="3:16" x14ac:dyDescent="0.3">
      <c r="C514" s="1050"/>
      <c r="D514" s="1050"/>
      <c r="E514" s="1050"/>
      <c r="F514" s="1050"/>
      <c r="G514" s="1050"/>
      <c r="H514" s="1050"/>
      <c r="I514" s="1050"/>
      <c r="J514" s="1050"/>
      <c r="K514" s="1050"/>
      <c r="L514" s="1050"/>
      <c r="M514" s="1072"/>
      <c r="N514" s="1050"/>
      <c r="O514" s="1050"/>
      <c r="P514" s="1050"/>
    </row>
    <row r="515" spans="3:16" x14ac:dyDescent="0.3">
      <c r="C515" s="1050"/>
      <c r="D515" s="1050"/>
      <c r="E515" s="1050"/>
      <c r="F515" s="1050"/>
      <c r="G515" s="1050"/>
      <c r="H515" s="1050"/>
      <c r="I515" s="1050"/>
      <c r="J515" s="1050"/>
      <c r="K515" s="1050"/>
      <c r="L515" s="1050"/>
      <c r="M515" s="1072"/>
      <c r="N515" s="1050"/>
      <c r="O515" s="1050"/>
      <c r="P515" s="1050"/>
    </row>
    <row r="516" spans="3:16" x14ac:dyDescent="0.3">
      <c r="C516" s="1050"/>
      <c r="D516" s="1050"/>
      <c r="E516" s="1050"/>
      <c r="F516" s="1050"/>
      <c r="G516" s="1050"/>
      <c r="H516" s="1050"/>
      <c r="I516" s="1050"/>
      <c r="J516" s="1050"/>
      <c r="K516" s="1050"/>
      <c r="L516" s="1050"/>
      <c r="M516" s="1072"/>
      <c r="N516" s="1050"/>
      <c r="O516" s="1050"/>
      <c r="P516" s="1050"/>
    </row>
    <row r="517" spans="3:16" x14ac:dyDescent="0.3">
      <c r="C517" s="1050"/>
      <c r="D517" s="1050"/>
      <c r="E517" s="1050"/>
      <c r="F517" s="1050"/>
      <c r="G517" s="1050"/>
      <c r="H517" s="1050"/>
      <c r="I517" s="1050"/>
      <c r="J517" s="1050"/>
      <c r="K517" s="1050"/>
      <c r="L517" s="1050"/>
      <c r="M517" s="1072"/>
      <c r="N517" s="1050"/>
      <c r="O517" s="1050"/>
      <c r="P517" s="1050"/>
    </row>
    <row r="518" spans="3:16" x14ac:dyDescent="0.3">
      <c r="C518" s="1050"/>
      <c r="D518" s="1050"/>
      <c r="E518" s="1050"/>
      <c r="F518" s="1050"/>
      <c r="G518" s="1050"/>
      <c r="H518" s="1050"/>
      <c r="I518" s="1050"/>
      <c r="J518" s="1050"/>
      <c r="K518" s="1050"/>
      <c r="L518" s="1050"/>
      <c r="M518" s="1072"/>
      <c r="N518" s="1050"/>
      <c r="O518" s="1050"/>
      <c r="P518" s="1050"/>
    </row>
    <row r="519" spans="3:16" x14ac:dyDescent="0.3">
      <c r="C519" s="1050"/>
      <c r="D519" s="1050"/>
      <c r="E519" s="1050"/>
      <c r="F519" s="1050"/>
      <c r="G519" s="1050"/>
      <c r="H519" s="1050"/>
      <c r="I519" s="1050"/>
      <c r="J519" s="1050"/>
      <c r="K519" s="1050"/>
      <c r="L519" s="1050"/>
      <c r="M519" s="1072"/>
      <c r="N519" s="1050"/>
      <c r="O519" s="1050"/>
      <c r="P519" s="1050"/>
    </row>
    <row r="520" spans="3:16" x14ac:dyDescent="0.3">
      <c r="C520" s="1050"/>
      <c r="D520" s="1050"/>
      <c r="E520" s="1050"/>
      <c r="F520" s="1050"/>
      <c r="G520" s="1050"/>
      <c r="H520" s="1050"/>
      <c r="I520" s="1050"/>
      <c r="J520" s="1050"/>
      <c r="K520" s="1050"/>
      <c r="L520" s="1050"/>
      <c r="M520" s="1072"/>
      <c r="N520" s="1050"/>
      <c r="O520" s="1050"/>
      <c r="P520" s="1050"/>
    </row>
    <row r="521" spans="3:16" x14ac:dyDescent="0.3">
      <c r="C521" s="1050"/>
      <c r="D521" s="1050"/>
      <c r="E521" s="1050"/>
      <c r="F521" s="1050"/>
      <c r="G521" s="1050"/>
      <c r="H521" s="1050"/>
      <c r="I521" s="1050"/>
      <c r="J521" s="1050"/>
      <c r="K521" s="1050"/>
      <c r="L521" s="1050"/>
      <c r="M521" s="1072"/>
      <c r="N521" s="1050"/>
      <c r="O521" s="1050"/>
      <c r="P521" s="1050"/>
    </row>
    <row r="522" spans="3:16" x14ac:dyDescent="0.3">
      <c r="C522" s="1050"/>
      <c r="D522" s="1050"/>
      <c r="E522" s="1050"/>
      <c r="F522" s="1050"/>
      <c r="G522" s="1050"/>
      <c r="H522" s="1050"/>
      <c r="I522" s="1050"/>
      <c r="J522" s="1050"/>
      <c r="K522" s="1050"/>
      <c r="L522" s="1050"/>
      <c r="M522" s="1072"/>
      <c r="N522" s="1050"/>
      <c r="O522" s="1050"/>
      <c r="P522" s="1050"/>
    </row>
    <row r="523" spans="3:16" x14ac:dyDescent="0.3">
      <c r="C523" s="1050"/>
      <c r="D523" s="1050"/>
      <c r="E523" s="1050"/>
      <c r="F523" s="1050"/>
      <c r="G523" s="1050"/>
      <c r="H523" s="1050"/>
      <c r="I523" s="1050"/>
      <c r="J523" s="1050"/>
      <c r="K523" s="1050"/>
      <c r="L523" s="1050"/>
      <c r="M523" s="1072"/>
      <c r="N523" s="1050"/>
      <c r="O523" s="1050"/>
      <c r="P523" s="1050"/>
    </row>
    <row r="524" spans="3:16" x14ac:dyDescent="0.3">
      <c r="C524" s="1050"/>
      <c r="D524" s="1050"/>
      <c r="E524" s="1050"/>
      <c r="F524" s="1050"/>
      <c r="G524" s="1050"/>
      <c r="H524" s="1050"/>
      <c r="I524" s="1050"/>
      <c r="J524" s="1050"/>
      <c r="K524" s="1050"/>
      <c r="L524" s="1050"/>
      <c r="M524" s="1072"/>
      <c r="N524" s="1050"/>
      <c r="O524" s="1050"/>
      <c r="P524" s="1050"/>
    </row>
    <row r="525" spans="3:16" x14ac:dyDescent="0.3">
      <c r="C525" s="1050"/>
      <c r="D525" s="1050"/>
      <c r="E525" s="1050"/>
      <c r="F525" s="1050"/>
      <c r="G525" s="1050"/>
      <c r="H525" s="1050"/>
      <c r="I525" s="1050"/>
      <c r="J525" s="1050"/>
      <c r="K525" s="1050"/>
      <c r="L525" s="1050"/>
      <c r="M525" s="1072"/>
      <c r="N525" s="1050"/>
      <c r="O525" s="1050"/>
      <c r="P525" s="1050"/>
    </row>
    <row r="526" spans="3:16" x14ac:dyDescent="0.3">
      <c r="C526" s="1050"/>
      <c r="D526" s="1050"/>
      <c r="E526" s="1050"/>
      <c r="F526" s="1050"/>
      <c r="G526" s="1050"/>
      <c r="H526" s="1050"/>
      <c r="I526" s="1050"/>
      <c r="J526" s="1050"/>
      <c r="K526" s="1050"/>
      <c r="L526" s="1050"/>
      <c r="M526" s="1072"/>
      <c r="N526" s="1050"/>
      <c r="O526" s="1050"/>
      <c r="P526" s="1050"/>
    </row>
    <row r="527" spans="3:16" x14ac:dyDescent="0.3">
      <c r="C527" s="1050"/>
      <c r="D527" s="1050"/>
      <c r="E527" s="1050"/>
      <c r="F527" s="1050"/>
      <c r="G527" s="1050"/>
      <c r="H527" s="1050"/>
      <c r="I527" s="1050"/>
      <c r="J527" s="1050"/>
      <c r="K527" s="1050"/>
      <c r="L527" s="1050"/>
      <c r="M527" s="1072"/>
      <c r="N527" s="1050"/>
      <c r="O527" s="1050"/>
      <c r="P527" s="1050"/>
    </row>
    <row r="528" spans="3:16" x14ac:dyDescent="0.3">
      <c r="C528" s="1050"/>
      <c r="D528" s="1050"/>
      <c r="E528" s="1050"/>
      <c r="F528" s="1050"/>
      <c r="G528" s="1050"/>
      <c r="H528" s="1050"/>
      <c r="I528" s="1050"/>
      <c r="J528" s="1050"/>
      <c r="K528" s="1050"/>
      <c r="L528" s="1050"/>
      <c r="M528" s="1072"/>
      <c r="N528" s="1050"/>
      <c r="O528" s="1050"/>
      <c r="P528" s="1050"/>
    </row>
    <row r="529" spans="3:16" x14ac:dyDescent="0.3">
      <c r="C529" s="1050"/>
      <c r="D529" s="1050"/>
      <c r="E529" s="1050"/>
      <c r="F529" s="1050"/>
      <c r="G529" s="1050"/>
      <c r="H529" s="1050"/>
      <c r="I529" s="1050"/>
      <c r="J529" s="1050"/>
      <c r="K529" s="1050"/>
      <c r="L529" s="1050"/>
      <c r="M529" s="1072"/>
      <c r="N529" s="1050"/>
      <c r="O529" s="1050"/>
      <c r="P529" s="1050"/>
    </row>
    <row r="530" spans="3:16" x14ac:dyDescent="0.3">
      <c r="C530" s="1050"/>
      <c r="D530" s="1050"/>
      <c r="E530" s="1050"/>
      <c r="F530" s="1050"/>
      <c r="G530" s="1050"/>
      <c r="H530" s="1050"/>
      <c r="I530" s="1050"/>
      <c r="J530" s="1050"/>
      <c r="K530" s="1050"/>
      <c r="L530" s="1050"/>
      <c r="M530" s="1072"/>
      <c r="N530" s="1050"/>
      <c r="O530" s="1050"/>
      <c r="P530" s="1050"/>
    </row>
    <row r="531" spans="3:16" x14ac:dyDescent="0.3">
      <c r="C531" s="1050"/>
      <c r="D531" s="1050"/>
      <c r="E531" s="1050"/>
      <c r="F531" s="1050"/>
      <c r="G531" s="1050"/>
      <c r="H531" s="1050"/>
      <c r="I531" s="1050"/>
      <c r="J531" s="1050"/>
      <c r="K531" s="1050"/>
      <c r="L531" s="1050"/>
      <c r="M531" s="1072"/>
      <c r="N531" s="1050"/>
      <c r="O531" s="1050"/>
      <c r="P531" s="1050"/>
    </row>
    <row r="532" spans="3:16" x14ac:dyDescent="0.3">
      <c r="C532" s="1050"/>
      <c r="D532" s="1050"/>
      <c r="E532" s="1050"/>
      <c r="F532" s="1050"/>
      <c r="G532" s="1050"/>
      <c r="H532" s="1050"/>
      <c r="I532" s="1050"/>
      <c r="J532" s="1050"/>
      <c r="K532" s="1050"/>
      <c r="L532" s="1050"/>
      <c r="M532" s="1072"/>
      <c r="N532" s="1050"/>
      <c r="O532" s="1050"/>
      <c r="P532" s="1050"/>
    </row>
    <row r="533" spans="3:16" x14ac:dyDescent="0.3">
      <c r="C533" s="1050"/>
      <c r="D533" s="1050"/>
      <c r="E533" s="1050"/>
      <c r="F533" s="1050"/>
      <c r="G533" s="1050"/>
      <c r="H533" s="1050"/>
      <c r="I533" s="1050"/>
      <c r="J533" s="1050"/>
      <c r="K533" s="1050"/>
      <c r="L533" s="1050"/>
      <c r="M533" s="1072"/>
      <c r="N533" s="1050"/>
      <c r="O533" s="1050"/>
      <c r="P533" s="1050"/>
    </row>
    <row r="534" spans="3:16" x14ac:dyDescent="0.3">
      <c r="C534" s="1050"/>
      <c r="D534" s="1050"/>
      <c r="E534" s="1050"/>
      <c r="F534" s="1050"/>
      <c r="G534" s="1050"/>
      <c r="H534" s="1050"/>
      <c r="I534" s="1050"/>
      <c r="J534" s="1050"/>
      <c r="K534" s="1050"/>
      <c r="L534" s="1050"/>
      <c r="M534" s="1072"/>
      <c r="N534" s="1050"/>
      <c r="O534" s="1050"/>
      <c r="P534" s="1050"/>
    </row>
    <row r="535" spans="3:16" x14ac:dyDescent="0.3">
      <c r="C535" s="1050"/>
      <c r="D535" s="1050"/>
      <c r="E535" s="1050"/>
      <c r="F535" s="1050"/>
      <c r="G535" s="1050"/>
      <c r="H535" s="1050"/>
      <c r="I535" s="1050"/>
      <c r="J535" s="1050"/>
      <c r="K535" s="1050"/>
      <c r="L535" s="1050"/>
      <c r="M535" s="1072"/>
      <c r="N535" s="1050"/>
      <c r="O535" s="1050"/>
      <c r="P535" s="1050"/>
    </row>
    <row r="536" spans="3:16" x14ac:dyDescent="0.3">
      <c r="C536" s="1050"/>
      <c r="D536" s="1050"/>
      <c r="E536" s="1050"/>
      <c r="F536" s="1050"/>
      <c r="G536" s="1050"/>
      <c r="H536" s="1050"/>
      <c r="I536" s="1050"/>
      <c r="J536" s="1050"/>
      <c r="K536" s="1050"/>
      <c r="L536" s="1050"/>
      <c r="M536" s="1072"/>
      <c r="N536" s="1050"/>
      <c r="O536" s="1050"/>
      <c r="P536" s="1050"/>
    </row>
    <row r="537" spans="3:16" x14ac:dyDescent="0.3">
      <c r="C537" s="1050"/>
      <c r="D537" s="1050"/>
      <c r="E537" s="1050"/>
      <c r="F537" s="1050"/>
      <c r="G537" s="1050"/>
      <c r="H537" s="1050"/>
      <c r="I537" s="1050"/>
      <c r="J537" s="1050"/>
      <c r="K537" s="1050"/>
      <c r="L537" s="1050"/>
      <c r="M537" s="1072"/>
      <c r="N537" s="1050"/>
      <c r="O537" s="1050"/>
      <c r="P537" s="1050"/>
    </row>
    <row r="538" spans="3:16" x14ac:dyDescent="0.3">
      <c r="C538" s="1050"/>
      <c r="D538" s="1050"/>
      <c r="E538" s="1050"/>
      <c r="F538" s="1050"/>
      <c r="G538" s="1050"/>
      <c r="H538" s="1050"/>
      <c r="I538" s="1050"/>
      <c r="J538" s="1050"/>
      <c r="K538" s="1050"/>
      <c r="L538" s="1050"/>
      <c r="M538" s="1072"/>
      <c r="N538" s="1050"/>
      <c r="O538" s="1050"/>
      <c r="P538" s="1050"/>
    </row>
    <row r="539" spans="3:16" x14ac:dyDescent="0.3">
      <c r="C539" s="1050"/>
      <c r="D539" s="1050"/>
      <c r="E539" s="1050"/>
      <c r="F539" s="1050"/>
      <c r="G539" s="1050"/>
      <c r="H539" s="1050"/>
      <c r="I539" s="1050"/>
      <c r="J539" s="1050"/>
      <c r="K539" s="1050"/>
      <c r="L539" s="1050"/>
      <c r="M539" s="1072"/>
      <c r="N539" s="1050"/>
      <c r="O539" s="1050"/>
      <c r="P539" s="1050"/>
    </row>
    <row r="540" spans="3:16" x14ac:dyDescent="0.3">
      <c r="C540" s="1050"/>
      <c r="D540" s="1050"/>
      <c r="E540" s="1050"/>
      <c r="F540" s="1050"/>
      <c r="G540" s="1050"/>
      <c r="H540" s="1050"/>
      <c r="I540" s="1050"/>
      <c r="J540" s="1050"/>
      <c r="K540" s="1050"/>
      <c r="L540" s="1050"/>
      <c r="M540" s="1072"/>
      <c r="N540" s="1050"/>
      <c r="O540" s="1050"/>
      <c r="P540" s="1050"/>
    </row>
    <row r="541" spans="3:16" x14ac:dyDescent="0.3">
      <c r="C541" s="1050"/>
      <c r="D541" s="1050"/>
      <c r="E541" s="1050"/>
      <c r="F541" s="1050"/>
      <c r="G541" s="1050"/>
      <c r="H541" s="1050"/>
      <c r="I541" s="1050"/>
      <c r="J541" s="1050"/>
      <c r="K541" s="1050"/>
      <c r="L541" s="1050"/>
      <c r="M541" s="1072"/>
      <c r="N541" s="1050"/>
      <c r="O541" s="1050"/>
      <c r="P541" s="1050"/>
    </row>
    <row r="542" spans="3:16" x14ac:dyDescent="0.3">
      <c r="C542" s="1050"/>
      <c r="D542" s="1050"/>
      <c r="E542" s="1050"/>
      <c r="F542" s="1050"/>
      <c r="G542" s="1050"/>
      <c r="H542" s="1050"/>
      <c r="I542" s="1050"/>
      <c r="J542" s="1050"/>
      <c r="K542" s="1050"/>
      <c r="L542" s="1050"/>
      <c r="M542" s="1072"/>
      <c r="N542" s="1050"/>
      <c r="O542" s="1050"/>
      <c r="P542" s="1050"/>
    </row>
    <row r="543" spans="3:16" x14ac:dyDescent="0.3">
      <c r="C543" s="1050"/>
      <c r="D543" s="1050"/>
      <c r="E543" s="1050"/>
      <c r="F543" s="1050"/>
      <c r="G543" s="1050"/>
      <c r="H543" s="1050"/>
      <c r="I543" s="1050"/>
      <c r="J543" s="1050"/>
      <c r="K543" s="1050"/>
      <c r="L543" s="1050"/>
      <c r="M543" s="1072"/>
      <c r="N543" s="1050"/>
      <c r="O543" s="1050"/>
      <c r="P543" s="1050"/>
    </row>
    <row r="544" spans="3:16" x14ac:dyDescent="0.3">
      <c r="C544" s="1050"/>
      <c r="D544" s="1050"/>
      <c r="E544" s="1050"/>
      <c r="F544" s="1050"/>
      <c r="G544" s="1050"/>
      <c r="H544" s="1050"/>
      <c r="I544" s="1050"/>
      <c r="J544" s="1050"/>
      <c r="K544" s="1050"/>
      <c r="L544" s="1050"/>
      <c r="M544" s="1072"/>
      <c r="N544" s="1050"/>
      <c r="O544" s="1050"/>
      <c r="P544" s="1050"/>
    </row>
    <row r="545" spans="3:16" x14ac:dyDescent="0.3">
      <c r="C545" s="1050"/>
      <c r="D545" s="1050"/>
      <c r="E545" s="1050"/>
      <c r="F545" s="1050"/>
      <c r="G545" s="1050"/>
      <c r="H545" s="1050"/>
      <c r="I545" s="1050"/>
      <c r="J545" s="1050"/>
      <c r="K545" s="1050"/>
      <c r="L545" s="1050"/>
      <c r="M545" s="1072"/>
      <c r="N545" s="1050"/>
      <c r="O545" s="1050"/>
      <c r="P545" s="1050"/>
    </row>
    <row r="546" spans="3:16" x14ac:dyDescent="0.3">
      <c r="C546" s="1050"/>
      <c r="D546" s="1050"/>
      <c r="E546" s="1050"/>
      <c r="F546" s="1050"/>
      <c r="G546" s="1050"/>
      <c r="H546" s="1050"/>
      <c r="I546" s="1050"/>
      <c r="J546" s="1050"/>
      <c r="K546" s="1050"/>
      <c r="L546" s="1050"/>
      <c r="M546" s="1072"/>
      <c r="N546" s="1050"/>
      <c r="O546" s="1050"/>
      <c r="P546" s="1050"/>
    </row>
    <row r="547" spans="3:16" x14ac:dyDescent="0.3">
      <c r="C547" s="1050"/>
      <c r="D547" s="1050"/>
      <c r="E547" s="1050"/>
      <c r="F547" s="1050"/>
      <c r="G547" s="1050"/>
      <c r="H547" s="1050"/>
      <c r="I547" s="1050"/>
      <c r="J547" s="1050"/>
      <c r="K547" s="1050"/>
      <c r="L547" s="1050"/>
      <c r="M547" s="1072"/>
      <c r="N547" s="1050"/>
      <c r="O547" s="1050"/>
      <c r="P547" s="1050"/>
    </row>
    <row r="548" spans="3:16" x14ac:dyDescent="0.3">
      <c r="C548" s="1050"/>
      <c r="D548" s="1050"/>
      <c r="E548" s="1050"/>
      <c r="F548" s="1050"/>
      <c r="G548" s="1050"/>
      <c r="H548" s="1050"/>
      <c r="I548" s="1050"/>
      <c r="J548" s="1050"/>
      <c r="K548" s="1050"/>
      <c r="L548" s="1050"/>
      <c r="M548" s="1072"/>
      <c r="N548" s="1050"/>
      <c r="O548" s="1050"/>
      <c r="P548" s="1050"/>
    </row>
    <row r="549" spans="3:16" x14ac:dyDescent="0.3">
      <c r="C549" s="1050"/>
      <c r="D549" s="1050"/>
      <c r="E549" s="1050"/>
      <c r="F549" s="1050"/>
      <c r="G549" s="1050"/>
      <c r="H549" s="1050"/>
      <c r="I549" s="1050"/>
      <c r="J549" s="1050"/>
      <c r="K549" s="1050"/>
      <c r="L549" s="1050"/>
      <c r="M549" s="1072"/>
      <c r="N549" s="1050"/>
      <c r="O549" s="1050"/>
      <c r="P549" s="1050"/>
    </row>
    <row r="550" spans="3:16" x14ac:dyDescent="0.3">
      <c r="C550" s="1050"/>
      <c r="D550" s="1050"/>
      <c r="E550" s="1050"/>
      <c r="F550" s="1050"/>
      <c r="G550" s="1050"/>
      <c r="H550" s="1050"/>
      <c r="I550" s="1050"/>
      <c r="J550" s="1050"/>
      <c r="K550" s="1050"/>
      <c r="L550" s="1050"/>
      <c r="M550" s="1072"/>
      <c r="N550" s="1050"/>
      <c r="O550" s="1050"/>
      <c r="P550" s="1050"/>
    </row>
    <row r="551" spans="3:16" x14ac:dyDescent="0.3">
      <c r="C551" s="1050"/>
      <c r="D551" s="1050"/>
      <c r="E551" s="1050"/>
      <c r="F551" s="1050"/>
      <c r="G551" s="1050"/>
      <c r="H551" s="1050"/>
      <c r="I551" s="1050"/>
      <c r="J551" s="1050"/>
      <c r="K551" s="1050"/>
      <c r="L551" s="1050"/>
      <c r="M551" s="1072"/>
      <c r="N551" s="1050"/>
      <c r="O551" s="1050"/>
      <c r="P551" s="1050"/>
    </row>
    <row r="552" spans="3:16" x14ac:dyDescent="0.3">
      <c r="C552" s="1050"/>
      <c r="D552" s="1050"/>
      <c r="E552" s="1050"/>
      <c r="F552" s="1050"/>
      <c r="G552" s="1050"/>
      <c r="H552" s="1050"/>
      <c r="I552" s="1050"/>
      <c r="J552" s="1050"/>
      <c r="K552" s="1050"/>
      <c r="L552" s="1050"/>
      <c r="M552" s="1072"/>
      <c r="N552" s="1050"/>
      <c r="O552" s="1050"/>
      <c r="P552" s="1050"/>
    </row>
    <row r="553" spans="3:16" x14ac:dyDescent="0.3">
      <c r="C553" s="1050"/>
      <c r="D553" s="1050"/>
      <c r="E553" s="1050"/>
      <c r="F553" s="1050"/>
      <c r="G553" s="1050"/>
      <c r="H553" s="1050"/>
      <c r="I553" s="1050"/>
      <c r="J553" s="1050"/>
      <c r="K553" s="1050"/>
      <c r="L553" s="1050"/>
      <c r="M553" s="1072"/>
      <c r="N553" s="1050"/>
      <c r="O553" s="1050"/>
      <c r="P553" s="1050"/>
    </row>
    <row r="554" spans="3:16" x14ac:dyDescent="0.3">
      <c r="C554" s="1050"/>
      <c r="D554" s="1050"/>
      <c r="E554" s="1050"/>
      <c r="F554" s="1050"/>
      <c r="G554" s="1050"/>
      <c r="H554" s="1050"/>
      <c r="I554" s="1050"/>
      <c r="J554" s="1050"/>
      <c r="K554" s="1050"/>
      <c r="L554" s="1050"/>
      <c r="M554" s="1072"/>
      <c r="N554" s="1050"/>
      <c r="O554" s="1050"/>
      <c r="P554" s="1050"/>
    </row>
    <row r="555" spans="3:16" x14ac:dyDescent="0.3">
      <c r="C555" s="1050"/>
      <c r="D555" s="1050"/>
      <c r="E555" s="1050"/>
      <c r="F555" s="1050"/>
      <c r="G555" s="1050"/>
      <c r="H555" s="1050"/>
      <c r="I555" s="1050"/>
      <c r="J555" s="1050"/>
      <c r="K555" s="1050"/>
      <c r="L555" s="1050"/>
      <c r="M555" s="1072"/>
      <c r="N555" s="1050"/>
      <c r="O555" s="1050"/>
      <c r="P555" s="1050"/>
    </row>
    <row r="556" spans="3:16" x14ac:dyDescent="0.3">
      <c r="C556" s="1050"/>
      <c r="D556" s="1050"/>
      <c r="E556" s="1050"/>
      <c r="F556" s="1050"/>
      <c r="G556" s="1050"/>
      <c r="H556" s="1050"/>
      <c r="I556" s="1050"/>
      <c r="J556" s="1050"/>
      <c r="K556" s="1050"/>
      <c r="L556" s="1050"/>
      <c r="M556" s="1072"/>
      <c r="N556" s="1050"/>
      <c r="O556" s="1050"/>
      <c r="P556" s="1050"/>
    </row>
    <row r="557" spans="3:16" x14ac:dyDescent="0.3">
      <c r="C557" s="1050"/>
      <c r="D557" s="1050"/>
      <c r="E557" s="1050"/>
      <c r="F557" s="1050"/>
      <c r="G557" s="1050"/>
      <c r="H557" s="1050"/>
      <c r="I557" s="1050"/>
      <c r="J557" s="1050"/>
      <c r="K557" s="1050"/>
      <c r="L557" s="1050"/>
      <c r="M557" s="1072"/>
      <c r="N557" s="1050"/>
      <c r="O557" s="1050"/>
      <c r="P557" s="1050"/>
    </row>
    <row r="558" spans="3:16" x14ac:dyDescent="0.3">
      <c r="C558" s="1050"/>
      <c r="D558" s="1050"/>
      <c r="E558" s="1050"/>
      <c r="F558" s="1050"/>
      <c r="G558" s="1050"/>
      <c r="H558" s="1050"/>
      <c r="I558" s="1050"/>
      <c r="J558" s="1050"/>
      <c r="K558" s="1050"/>
      <c r="L558" s="1050"/>
      <c r="M558" s="1072"/>
      <c r="N558" s="1050"/>
      <c r="O558" s="1050"/>
      <c r="P558" s="1050"/>
    </row>
    <row r="559" spans="3:16" x14ac:dyDescent="0.3">
      <c r="C559" s="1050"/>
      <c r="D559" s="1050"/>
      <c r="E559" s="1050"/>
      <c r="F559" s="1050"/>
      <c r="G559" s="1050"/>
      <c r="H559" s="1050"/>
      <c r="I559" s="1050"/>
      <c r="J559" s="1050"/>
      <c r="K559" s="1050"/>
      <c r="L559" s="1050"/>
      <c r="M559" s="1072"/>
      <c r="N559" s="1050"/>
      <c r="O559" s="1050"/>
      <c r="P559" s="1050"/>
    </row>
    <row r="560" spans="3:16" x14ac:dyDescent="0.3">
      <c r="C560" s="1050"/>
      <c r="D560" s="1050"/>
      <c r="E560" s="1050"/>
      <c r="F560" s="1050"/>
      <c r="G560" s="1050"/>
      <c r="H560" s="1050"/>
      <c r="I560" s="1050"/>
      <c r="J560" s="1050"/>
      <c r="K560" s="1050"/>
      <c r="L560" s="1050"/>
      <c r="M560" s="1072"/>
      <c r="N560" s="1050"/>
      <c r="O560" s="1050"/>
      <c r="P560" s="1050"/>
    </row>
    <row r="561" spans="3:16" x14ac:dyDescent="0.3">
      <c r="C561" s="1050"/>
      <c r="D561" s="1050"/>
      <c r="E561" s="1050"/>
      <c r="F561" s="1050"/>
      <c r="G561" s="1050"/>
      <c r="H561" s="1050"/>
      <c r="I561" s="1050"/>
      <c r="J561" s="1050"/>
      <c r="K561" s="1050"/>
      <c r="L561" s="1050"/>
      <c r="M561" s="1072"/>
      <c r="N561" s="1050"/>
      <c r="O561" s="1050"/>
      <c r="P561" s="1050"/>
    </row>
    <row r="562" spans="3:16" x14ac:dyDescent="0.3">
      <c r="C562" s="1050"/>
      <c r="D562" s="1050"/>
      <c r="E562" s="1050"/>
      <c r="F562" s="1050"/>
      <c r="G562" s="1050"/>
      <c r="H562" s="1050"/>
      <c r="I562" s="1050"/>
      <c r="J562" s="1050"/>
      <c r="K562" s="1050"/>
      <c r="L562" s="1050"/>
      <c r="M562" s="1072"/>
      <c r="N562" s="1050"/>
      <c r="O562" s="1050"/>
      <c r="P562" s="1050"/>
    </row>
    <row r="563" spans="3:16" x14ac:dyDescent="0.3">
      <c r="C563" s="1050"/>
      <c r="D563" s="1050"/>
      <c r="E563" s="1050"/>
      <c r="F563" s="1050"/>
      <c r="G563" s="1050"/>
      <c r="H563" s="1050"/>
      <c r="I563" s="1050"/>
      <c r="J563" s="1050"/>
      <c r="K563" s="1050"/>
      <c r="L563" s="1050"/>
      <c r="M563" s="1072"/>
      <c r="N563" s="1050"/>
      <c r="O563" s="1050"/>
      <c r="P563" s="1050"/>
    </row>
    <row r="564" spans="3:16" x14ac:dyDescent="0.3">
      <c r="C564" s="1050"/>
      <c r="D564" s="1050"/>
      <c r="E564" s="1050"/>
      <c r="F564" s="1050"/>
      <c r="G564" s="1050"/>
      <c r="H564" s="1050"/>
      <c r="I564" s="1050"/>
      <c r="J564" s="1050"/>
      <c r="K564" s="1050"/>
      <c r="L564" s="1050"/>
      <c r="M564" s="1072"/>
      <c r="N564" s="1050"/>
      <c r="O564" s="1050"/>
      <c r="P564" s="1050"/>
    </row>
    <row r="565" spans="3:16" x14ac:dyDescent="0.3">
      <c r="C565" s="1050"/>
      <c r="D565" s="1050"/>
      <c r="E565" s="1050"/>
      <c r="F565" s="1050"/>
      <c r="G565" s="1050"/>
      <c r="H565" s="1050"/>
      <c r="I565" s="1050"/>
      <c r="J565" s="1050"/>
      <c r="K565" s="1050"/>
      <c r="L565" s="1050"/>
      <c r="M565" s="1072"/>
      <c r="N565" s="1050"/>
      <c r="O565" s="1050"/>
      <c r="P565" s="1050"/>
    </row>
    <row r="566" spans="3:16" x14ac:dyDescent="0.3">
      <c r="C566" s="1050"/>
      <c r="D566" s="1050"/>
      <c r="E566" s="1050"/>
      <c r="F566" s="1050"/>
      <c r="G566" s="1050"/>
      <c r="H566" s="1050"/>
      <c r="I566" s="1050"/>
      <c r="J566" s="1050"/>
      <c r="K566" s="1050"/>
      <c r="L566" s="1050"/>
      <c r="M566" s="1072"/>
      <c r="N566" s="1050"/>
      <c r="O566" s="1050"/>
      <c r="P566" s="1050"/>
    </row>
    <row r="567" spans="3:16" x14ac:dyDescent="0.3">
      <c r="C567" s="1050"/>
      <c r="D567" s="1050"/>
      <c r="E567" s="1050"/>
      <c r="F567" s="1050"/>
      <c r="G567" s="1050"/>
      <c r="H567" s="1050"/>
      <c r="I567" s="1050"/>
      <c r="J567" s="1050"/>
      <c r="K567" s="1050"/>
      <c r="L567" s="1050"/>
      <c r="M567" s="1072"/>
      <c r="N567" s="1050"/>
      <c r="O567" s="1050"/>
      <c r="P567" s="1050"/>
    </row>
    <row r="568" spans="3:16" x14ac:dyDescent="0.3">
      <c r="C568" s="1050"/>
      <c r="D568" s="1050"/>
      <c r="E568" s="1050"/>
      <c r="F568" s="1050"/>
      <c r="G568" s="1050"/>
      <c r="H568" s="1050"/>
      <c r="I568" s="1050"/>
      <c r="J568" s="1050"/>
      <c r="K568" s="1050"/>
      <c r="L568" s="1050"/>
      <c r="M568" s="1072"/>
      <c r="N568" s="1050"/>
      <c r="O568" s="1050"/>
      <c r="P568" s="1050"/>
    </row>
    <row r="569" spans="3:16" x14ac:dyDescent="0.3">
      <c r="C569" s="1050"/>
      <c r="D569" s="1050"/>
      <c r="E569" s="1050"/>
      <c r="F569" s="1050"/>
      <c r="G569" s="1050"/>
      <c r="H569" s="1050"/>
      <c r="I569" s="1050"/>
      <c r="J569" s="1050"/>
      <c r="K569" s="1050"/>
      <c r="L569" s="1050"/>
      <c r="M569" s="1072"/>
      <c r="N569" s="1050"/>
      <c r="O569" s="1050"/>
      <c r="P569" s="1050"/>
    </row>
    <row r="570" spans="3:16" x14ac:dyDescent="0.3">
      <c r="C570" s="1050"/>
      <c r="D570" s="1050"/>
      <c r="E570" s="1050"/>
      <c r="F570" s="1050"/>
      <c r="G570" s="1050"/>
      <c r="H570" s="1050"/>
      <c r="I570" s="1050"/>
      <c r="J570" s="1050"/>
      <c r="K570" s="1050"/>
      <c r="L570" s="1050"/>
      <c r="M570" s="1072"/>
      <c r="N570" s="1050"/>
      <c r="O570" s="1050"/>
      <c r="P570" s="1050"/>
    </row>
    <row r="571" spans="3:16" x14ac:dyDescent="0.3">
      <c r="C571" s="1050"/>
      <c r="D571" s="1050"/>
      <c r="E571" s="1050"/>
      <c r="F571" s="1050"/>
      <c r="G571" s="1050"/>
      <c r="H571" s="1050"/>
      <c r="I571" s="1050"/>
      <c r="J571" s="1050"/>
      <c r="K571" s="1050"/>
      <c r="L571" s="1050"/>
      <c r="M571" s="1072"/>
      <c r="N571" s="1050"/>
      <c r="O571" s="1050"/>
      <c r="P571" s="1050"/>
    </row>
    <row r="572" spans="3:16" x14ac:dyDescent="0.3">
      <c r="C572" s="1050"/>
      <c r="D572" s="1050"/>
      <c r="E572" s="1050"/>
      <c r="F572" s="1050"/>
      <c r="G572" s="1050"/>
      <c r="H572" s="1050"/>
      <c r="I572" s="1050"/>
      <c r="J572" s="1050"/>
      <c r="K572" s="1050"/>
      <c r="L572" s="1050"/>
      <c r="M572" s="1072"/>
      <c r="N572" s="1050"/>
      <c r="O572" s="1050"/>
      <c r="P572" s="1050"/>
    </row>
    <row r="573" spans="3:16" x14ac:dyDescent="0.3">
      <c r="C573" s="1050"/>
      <c r="D573" s="1050"/>
      <c r="E573" s="1050"/>
      <c r="F573" s="1050"/>
      <c r="G573" s="1050"/>
      <c r="H573" s="1050"/>
      <c r="I573" s="1050"/>
      <c r="J573" s="1050"/>
      <c r="K573" s="1050"/>
      <c r="L573" s="1050"/>
      <c r="M573" s="1072"/>
      <c r="N573" s="1050"/>
      <c r="O573" s="1050"/>
      <c r="P573" s="1050"/>
    </row>
    <row r="574" spans="3:16" x14ac:dyDescent="0.3">
      <c r="C574" s="1050"/>
      <c r="D574" s="1050"/>
      <c r="E574" s="1050"/>
      <c r="F574" s="1050"/>
      <c r="G574" s="1050"/>
      <c r="H574" s="1050"/>
      <c r="I574" s="1050"/>
      <c r="J574" s="1050"/>
      <c r="K574" s="1050"/>
      <c r="L574" s="1050"/>
      <c r="M574" s="1072"/>
      <c r="N574" s="1050"/>
      <c r="O574" s="1050"/>
      <c r="P574" s="1050"/>
    </row>
    <row r="575" spans="3:16" x14ac:dyDescent="0.3">
      <c r="C575" s="1050"/>
      <c r="D575" s="1050"/>
      <c r="E575" s="1050"/>
      <c r="F575" s="1050"/>
      <c r="G575" s="1050"/>
      <c r="H575" s="1050"/>
      <c r="I575" s="1050"/>
      <c r="J575" s="1050"/>
      <c r="K575" s="1050"/>
      <c r="L575" s="1050"/>
      <c r="M575" s="1072"/>
      <c r="N575" s="1050"/>
      <c r="O575" s="1050"/>
      <c r="P575" s="1050"/>
    </row>
    <row r="576" spans="3:16" x14ac:dyDescent="0.3">
      <c r="C576" s="1050"/>
      <c r="D576" s="1050"/>
      <c r="E576" s="1050"/>
      <c r="F576" s="1050"/>
      <c r="G576" s="1050"/>
      <c r="H576" s="1050"/>
      <c r="I576" s="1050"/>
      <c r="J576" s="1050"/>
      <c r="K576" s="1050"/>
      <c r="L576" s="1050"/>
      <c r="M576" s="1072"/>
      <c r="N576" s="1050"/>
      <c r="O576" s="1050"/>
      <c r="P576" s="1050"/>
    </row>
    <row r="577" spans="3:16" x14ac:dyDescent="0.3">
      <c r="C577" s="1050"/>
      <c r="D577" s="1050"/>
      <c r="E577" s="1050"/>
      <c r="F577" s="1050"/>
      <c r="G577" s="1050"/>
      <c r="H577" s="1050"/>
      <c r="I577" s="1050"/>
      <c r="J577" s="1050"/>
      <c r="K577" s="1050"/>
      <c r="L577" s="1050"/>
      <c r="M577" s="1072"/>
      <c r="N577" s="1050"/>
      <c r="O577" s="1050"/>
      <c r="P577" s="1050"/>
    </row>
    <row r="578" spans="3:16" x14ac:dyDescent="0.3">
      <c r="C578" s="1050"/>
      <c r="D578" s="1050"/>
      <c r="E578" s="1050"/>
      <c r="F578" s="1050"/>
      <c r="G578" s="1050"/>
      <c r="H578" s="1050"/>
      <c r="I578" s="1050"/>
      <c r="J578" s="1050"/>
      <c r="K578" s="1050"/>
      <c r="L578" s="1050"/>
      <c r="M578" s="1072"/>
      <c r="N578" s="1050"/>
      <c r="O578" s="1050"/>
      <c r="P578" s="1050"/>
    </row>
    <row r="579" spans="3:16" x14ac:dyDescent="0.3">
      <c r="C579" s="1050"/>
      <c r="D579" s="1050"/>
      <c r="E579" s="1050"/>
      <c r="F579" s="1050"/>
      <c r="G579" s="1050"/>
      <c r="H579" s="1050"/>
      <c r="I579" s="1050"/>
      <c r="J579" s="1050"/>
      <c r="K579" s="1050"/>
      <c r="L579" s="1050"/>
      <c r="M579" s="1072"/>
      <c r="N579" s="1050"/>
      <c r="O579" s="1050"/>
      <c r="P579" s="1050"/>
    </row>
    <row r="580" spans="3:16" x14ac:dyDescent="0.3">
      <c r="C580" s="1050"/>
      <c r="D580" s="1050"/>
      <c r="E580" s="1050"/>
      <c r="F580" s="1050"/>
      <c r="G580" s="1050"/>
      <c r="H580" s="1050"/>
      <c r="I580" s="1050"/>
      <c r="J580" s="1050"/>
      <c r="K580" s="1050"/>
      <c r="L580" s="1050"/>
      <c r="M580" s="1072"/>
      <c r="N580" s="1050"/>
      <c r="O580" s="1050"/>
      <c r="P580" s="1050"/>
    </row>
    <row r="581" spans="3:16" x14ac:dyDescent="0.3">
      <c r="C581" s="1050"/>
      <c r="D581" s="1050"/>
      <c r="E581" s="1050"/>
      <c r="F581" s="1050"/>
      <c r="G581" s="1050"/>
      <c r="H581" s="1050"/>
      <c r="I581" s="1050"/>
      <c r="J581" s="1050"/>
      <c r="K581" s="1050"/>
      <c r="L581" s="1050"/>
      <c r="M581" s="1072"/>
      <c r="N581" s="1050"/>
      <c r="O581" s="1050"/>
      <c r="P581" s="1050"/>
    </row>
    <row r="582" spans="3:16" x14ac:dyDescent="0.3">
      <c r="C582" s="1050"/>
      <c r="D582" s="1050"/>
      <c r="E582" s="1050"/>
      <c r="F582" s="1050"/>
      <c r="G582" s="1050"/>
      <c r="H582" s="1050"/>
      <c r="I582" s="1050"/>
      <c r="J582" s="1050"/>
      <c r="K582" s="1050"/>
      <c r="L582" s="1050"/>
      <c r="M582" s="1072"/>
      <c r="N582" s="1050"/>
      <c r="O582" s="1050"/>
      <c r="P582" s="1050"/>
    </row>
    <row r="583" spans="3:16" x14ac:dyDescent="0.3">
      <c r="C583" s="1050"/>
      <c r="D583" s="1050"/>
      <c r="E583" s="1050"/>
      <c r="F583" s="1050"/>
      <c r="G583" s="1050"/>
      <c r="H583" s="1050"/>
      <c r="I583" s="1050"/>
      <c r="J583" s="1050"/>
      <c r="K583" s="1050"/>
      <c r="L583" s="1050"/>
      <c r="M583" s="1072"/>
      <c r="N583" s="1050"/>
      <c r="O583" s="1050"/>
      <c r="P583" s="1050"/>
    </row>
    <row r="584" spans="3:16" x14ac:dyDescent="0.3">
      <c r="C584" s="1050"/>
      <c r="D584" s="1050"/>
      <c r="E584" s="1050"/>
      <c r="F584" s="1050"/>
      <c r="G584" s="1050"/>
      <c r="H584" s="1050"/>
      <c r="I584" s="1050"/>
      <c r="J584" s="1050"/>
      <c r="K584" s="1050"/>
      <c r="L584" s="1050"/>
      <c r="M584" s="1072"/>
      <c r="N584" s="1050"/>
      <c r="O584" s="1050"/>
      <c r="P584" s="1050"/>
    </row>
    <row r="585" spans="3:16" x14ac:dyDescent="0.3">
      <c r="C585" s="1050"/>
      <c r="D585" s="1050"/>
      <c r="E585" s="1050"/>
      <c r="F585" s="1050"/>
      <c r="G585" s="1050"/>
      <c r="H585" s="1050"/>
      <c r="I585" s="1050"/>
      <c r="J585" s="1050"/>
      <c r="K585" s="1050"/>
      <c r="L585" s="1050"/>
      <c r="M585" s="1072"/>
      <c r="N585" s="1050"/>
      <c r="O585" s="1050"/>
      <c r="P585" s="1050"/>
    </row>
    <row r="586" spans="3:16" x14ac:dyDescent="0.3">
      <c r="C586" s="1050"/>
      <c r="D586" s="1050"/>
      <c r="E586" s="1050"/>
      <c r="F586" s="1050"/>
      <c r="G586" s="1050"/>
      <c r="H586" s="1050"/>
      <c r="I586" s="1050"/>
      <c r="J586" s="1050"/>
      <c r="K586" s="1050"/>
      <c r="L586" s="1050"/>
      <c r="M586" s="1072"/>
      <c r="N586" s="1050"/>
      <c r="O586" s="1050"/>
      <c r="P586" s="1050"/>
    </row>
    <row r="587" spans="3:16" x14ac:dyDescent="0.3">
      <c r="C587" s="1050"/>
      <c r="D587" s="1050"/>
      <c r="E587" s="1050"/>
      <c r="F587" s="1050"/>
      <c r="G587" s="1050"/>
      <c r="H587" s="1050"/>
      <c r="I587" s="1050"/>
      <c r="J587" s="1050"/>
      <c r="K587" s="1050"/>
      <c r="L587" s="1050"/>
      <c r="M587" s="1072"/>
      <c r="N587" s="1050"/>
      <c r="O587" s="1050"/>
      <c r="P587" s="1050"/>
    </row>
    <row r="588" spans="3:16" x14ac:dyDescent="0.3">
      <c r="C588" s="1050"/>
      <c r="D588" s="1050"/>
      <c r="E588" s="1050"/>
      <c r="F588" s="1050"/>
      <c r="G588" s="1050"/>
      <c r="H588" s="1050"/>
      <c r="I588" s="1050"/>
      <c r="J588" s="1050"/>
      <c r="K588" s="1050"/>
      <c r="L588" s="1050"/>
      <c r="M588" s="1072"/>
      <c r="N588" s="1050"/>
      <c r="O588" s="1050"/>
      <c r="P588" s="1050"/>
    </row>
    <row r="589" spans="3:16" x14ac:dyDescent="0.3">
      <c r="C589" s="1050"/>
      <c r="D589" s="1050"/>
      <c r="E589" s="1050"/>
      <c r="F589" s="1050"/>
      <c r="G589" s="1050"/>
      <c r="H589" s="1050"/>
      <c r="I589" s="1050"/>
      <c r="J589" s="1050"/>
      <c r="K589" s="1050"/>
      <c r="L589" s="1050"/>
      <c r="M589" s="1072"/>
      <c r="N589" s="1050"/>
      <c r="O589" s="1050"/>
      <c r="P589" s="1050"/>
    </row>
    <row r="590" spans="3:16" x14ac:dyDescent="0.3">
      <c r="C590" s="1050"/>
      <c r="D590" s="1050"/>
      <c r="E590" s="1050"/>
      <c r="F590" s="1050"/>
      <c r="G590" s="1050"/>
      <c r="H590" s="1050"/>
      <c r="I590" s="1050"/>
      <c r="J590" s="1050"/>
      <c r="K590" s="1050"/>
      <c r="L590" s="1050"/>
      <c r="M590" s="1072"/>
      <c r="N590" s="1050"/>
      <c r="O590" s="1050"/>
      <c r="P590" s="1050"/>
    </row>
    <row r="591" spans="3:16" x14ac:dyDescent="0.3">
      <c r="C591" s="1050"/>
      <c r="D591" s="1050"/>
      <c r="E591" s="1050"/>
      <c r="F591" s="1050"/>
      <c r="G591" s="1050"/>
      <c r="H591" s="1050"/>
      <c r="I591" s="1050"/>
      <c r="J591" s="1050"/>
      <c r="K591" s="1050"/>
      <c r="L591" s="1050"/>
      <c r="M591" s="1072"/>
      <c r="N591" s="1050"/>
      <c r="O591" s="1050"/>
      <c r="P591" s="1050"/>
    </row>
    <row r="592" spans="3:16" x14ac:dyDescent="0.3">
      <c r="C592" s="1050"/>
      <c r="D592" s="1050"/>
      <c r="E592" s="1050"/>
      <c r="F592" s="1050"/>
      <c r="G592" s="1050"/>
      <c r="H592" s="1050"/>
      <c r="I592" s="1050"/>
      <c r="J592" s="1050"/>
      <c r="K592" s="1050"/>
      <c r="L592" s="1050"/>
      <c r="M592" s="1072"/>
      <c r="N592" s="1050"/>
      <c r="O592" s="1050"/>
      <c r="P592" s="1050"/>
    </row>
    <row r="593" spans="3:16" x14ac:dyDescent="0.3">
      <c r="C593" s="1050"/>
      <c r="D593" s="1050"/>
      <c r="E593" s="1050"/>
      <c r="F593" s="1050"/>
      <c r="G593" s="1050"/>
      <c r="H593" s="1050"/>
      <c r="I593" s="1050"/>
      <c r="J593" s="1050"/>
      <c r="K593" s="1050"/>
      <c r="L593" s="1050"/>
      <c r="M593" s="1072"/>
      <c r="N593" s="1050"/>
      <c r="O593" s="1050"/>
      <c r="P593" s="1050"/>
    </row>
    <row r="594" spans="3:16" x14ac:dyDescent="0.3">
      <c r="C594" s="1050"/>
      <c r="D594" s="1050"/>
      <c r="E594" s="1050"/>
      <c r="F594" s="1050"/>
      <c r="G594" s="1050"/>
      <c r="H594" s="1050"/>
      <c r="I594" s="1050"/>
      <c r="J594" s="1050"/>
      <c r="K594" s="1050"/>
      <c r="L594" s="1050"/>
      <c r="M594" s="1072"/>
      <c r="N594" s="1050"/>
      <c r="O594" s="1050"/>
      <c r="P594" s="1050"/>
    </row>
    <row r="595" spans="3:16" x14ac:dyDescent="0.3">
      <c r="C595" s="1050"/>
      <c r="D595" s="1050"/>
      <c r="E595" s="1050"/>
      <c r="F595" s="1050"/>
      <c r="G595" s="1050"/>
      <c r="H595" s="1050"/>
      <c r="I595" s="1050"/>
      <c r="J595" s="1050"/>
      <c r="K595" s="1050"/>
      <c r="L595" s="1050"/>
      <c r="M595" s="1072"/>
      <c r="N595" s="1050"/>
      <c r="O595" s="1050"/>
      <c r="P595" s="1050"/>
    </row>
    <row r="596" spans="3:16" x14ac:dyDescent="0.3">
      <c r="C596" s="1050"/>
      <c r="D596" s="1050"/>
      <c r="E596" s="1050"/>
      <c r="F596" s="1050"/>
      <c r="G596" s="1050"/>
      <c r="H596" s="1050"/>
      <c r="I596" s="1050"/>
      <c r="J596" s="1050"/>
      <c r="K596" s="1050"/>
      <c r="L596" s="1050"/>
      <c r="M596" s="1072"/>
      <c r="N596" s="1050"/>
      <c r="O596" s="1050"/>
      <c r="P596" s="1050"/>
    </row>
    <row r="597" spans="3:16" x14ac:dyDescent="0.3">
      <c r="C597" s="1050"/>
      <c r="D597" s="1050"/>
      <c r="E597" s="1050"/>
      <c r="F597" s="1050"/>
      <c r="G597" s="1050"/>
      <c r="H597" s="1050"/>
      <c r="I597" s="1050"/>
      <c r="J597" s="1050"/>
      <c r="K597" s="1050"/>
      <c r="L597" s="1050"/>
      <c r="M597" s="1072"/>
      <c r="N597" s="1050"/>
      <c r="O597" s="1050"/>
      <c r="P597" s="1050"/>
    </row>
    <row r="598" spans="3:16" x14ac:dyDescent="0.3">
      <c r="C598" s="1050"/>
      <c r="D598" s="1050"/>
      <c r="E598" s="1050"/>
      <c r="F598" s="1050"/>
      <c r="G598" s="1050"/>
      <c r="H598" s="1050"/>
      <c r="I598" s="1050"/>
      <c r="J598" s="1050"/>
      <c r="K598" s="1050"/>
      <c r="L598" s="1050"/>
      <c r="M598" s="1072"/>
      <c r="N598" s="1050"/>
      <c r="O598" s="1050"/>
      <c r="P598" s="1050"/>
    </row>
    <row r="599" spans="3:16" x14ac:dyDescent="0.3">
      <c r="C599" s="1050"/>
      <c r="D599" s="1050"/>
      <c r="E599" s="1050"/>
      <c r="F599" s="1050"/>
      <c r="G599" s="1050"/>
      <c r="H599" s="1050"/>
      <c r="I599" s="1050"/>
      <c r="J599" s="1050"/>
      <c r="K599" s="1050"/>
      <c r="L599" s="1050"/>
      <c r="M599" s="1072"/>
      <c r="N599" s="1050"/>
      <c r="O599" s="1050"/>
      <c r="P599" s="1050"/>
    </row>
    <row r="600" spans="3:16" x14ac:dyDescent="0.3">
      <c r="C600" s="1050"/>
      <c r="D600" s="1050"/>
      <c r="E600" s="1050"/>
      <c r="F600" s="1050"/>
      <c r="G600" s="1050"/>
      <c r="H600" s="1050"/>
      <c r="I600" s="1050"/>
      <c r="J600" s="1050"/>
      <c r="K600" s="1050"/>
      <c r="L600" s="1050"/>
      <c r="M600" s="1072"/>
      <c r="N600" s="1050"/>
      <c r="O600" s="1050"/>
      <c r="P600" s="1050"/>
    </row>
    <row r="601" spans="3:16" x14ac:dyDescent="0.3">
      <c r="C601" s="1050"/>
      <c r="D601" s="1050"/>
      <c r="E601" s="1050"/>
      <c r="F601" s="1050"/>
      <c r="G601" s="1050"/>
      <c r="H601" s="1050"/>
      <c r="I601" s="1050"/>
      <c r="J601" s="1050"/>
      <c r="K601" s="1050"/>
      <c r="L601" s="1050"/>
      <c r="M601" s="1072"/>
      <c r="N601" s="1050"/>
      <c r="O601" s="1050"/>
      <c r="P601" s="1050"/>
    </row>
    <row r="602" spans="3:16" x14ac:dyDescent="0.3">
      <c r="C602" s="1050"/>
      <c r="D602" s="1050"/>
      <c r="E602" s="1050"/>
      <c r="F602" s="1050"/>
      <c r="G602" s="1050"/>
      <c r="H602" s="1050"/>
      <c r="I602" s="1050"/>
      <c r="J602" s="1050"/>
      <c r="K602" s="1050"/>
      <c r="L602" s="1050"/>
      <c r="M602" s="1072"/>
      <c r="N602" s="1050"/>
      <c r="O602" s="1050"/>
      <c r="P602" s="1050"/>
    </row>
    <row r="603" spans="3:16" x14ac:dyDescent="0.3">
      <c r="C603" s="1050"/>
      <c r="D603" s="1050"/>
      <c r="E603" s="1050"/>
      <c r="F603" s="1050"/>
      <c r="G603" s="1050"/>
      <c r="H603" s="1050"/>
      <c r="I603" s="1050"/>
      <c r="J603" s="1050"/>
      <c r="K603" s="1050"/>
      <c r="L603" s="1050"/>
      <c r="M603" s="1072"/>
      <c r="N603" s="1050"/>
      <c r="O603" s="1050"/>
      <c r="P603" s="1050"/>
    </row>
    <row r="604" spans="3:16" x14ac:dyDescent="0.3">
      <c r="C604" s="1050"/>
      <c r="D604" s="1050"/>
      <c r="E604" s="1050"/>
      <c r="F604" s="1050"/>
      <c r="G604" s="1050"/>
      <c r="H604" s="1050"/>
      <c r="I604" s="1050"/>
      <c r="J604" s="1050"/>
      <c r="K604" s="1050"/>
      <c r="L604" s="1050"/>
      <c r="M604" s="1072"/>
      <c r="N604" s="1050"/>
      <c r="O604" s="1050"/>
      <c r="P604" s="1050"/>
    </row>
    <row r="605" spans="3:16" x14ac:dyDescent="0.3">
      <c r="C605" s="1050"/>
      <c r="D605" s="1050"/>
      <c r="E605" s="1050"/>
      <c r="F605" s="1050"/>
      <c r="G605" s="1050"/>
      <c r="H605" s="1050"/>
      <c r="I605" s="1050"/>
      <c r="J605" s="1050"/>
      <c r="K605" s="1050"/>
      <c r="L605" s="1050"/>
      <c r="M605" s="1072"/>
      <c r="N605" s="1050"/>
      <c r="O605" s="1050"/>
      <c r="P605" s="1050"/>
    </row>
    <row r="606" spans="3:16" x14ac:dyDescent="0.3">
      <c r="C606" s="1050"/>
      <c r="D606" s="1050"/>
      <c r="E606" s="1050"/>
      <c r="F606" s="1050"/>
      <c r="G606" s="1050"/>
      <c r="H606" s="1050"/>
      <c r="I606" s="1050"/>
      <c r="J606" s="1050"/>
      <c r="K606" s="1050"/>
      <c r="L606" s="1050"/>
      <c r="M606" s="1072"/>
      <c r="N606" s="1050"/>
      <c r="O606" s="1050"/>
      <c r="P606" s="1050"/>
    </row>
    <row r="607" spans="3:16" x14ac:dyDescent="0.3">
      <c r="C607" s="1050"/>
      <c r="D607" s="1050"/>
      <c r="E607" s="1050"/>
      <c r="F607" s="1050"/>
      <c r="G607" s="1050"/>
      <c r="H607" s="1050"/>
      <c r="I607" s="1050"/>
      <c r="J607" s="1050"/>
      <c r="K607" s="1050"/>
      <c r="L607" s="1050"/>
      <c r="M607" s="1072"/>
      <c r="N607" s="1050"/>
      <c r="O607" s="1050"/>
      <c r="P607" s="1050"/>
    </row>
    <row r="608" spans="3:16" x14ac:dyDescent="0.3">
      <c r="C608" s="1050"/>
      <c r="D608" s="1050"/>
      <c r="E608" s="1050"/>
      <c r="F608" s="1050"/>
      <c r="G608" s="1050"/>
      <c r="H608" s="1050"/>
      <c r="I608" s="1050"/>
      <c r="J608" s="1050"/>
      <c r="K608" s="1050"/>
      <c r="L608" s="1050"/>
      <c r="M608" s="1072"/>
      <c r="N608" s="1050"/>
      <c r="O608" s="1050"/>
      <c r="P608" s="1050"/>
    </row>
    <row r="609" spans="3:16" x14ac:dyDescent="0.3">
      <c r="C609" s="1050"/>
      <c r="D609" s="1050"/>
      <c r="E609" s="1050"/>
      <c r="F609" s="1050"/>
      <c r="G609" s="1050"/>
      <c r="H609" s="1050"/>
      <c r="I609" s="1050"/>
      <c r="J609" s="1050"/>
      <c r="K609" s="1050"/>
      <c r="L609" s="1050"/>
      <c r="M609" s="1072"/>
      <c r="N609" s="1050"/>
      <c r="O609" s="1050"/>
      <c r="P609" s="1050"/>
    </row>
    <row r="610" spans="3:16" x14ac:dyDescent="0.3">
      <c r="C610" s="1050"/>
      <c r="D610" s="1050"/>
      <c r="E610" s="1050"/>
      <c r="F610" s="1050"/>
      <c r="G610" s="1050"/>
      <c r="H610" s="1050"/>
      <c r="I610" s="1050"/>
      <c r="J610" s="1050"/>
      <c r="K610" s="1050"/>
      <c r="L610" s="1050"/>
      <c r="M610" s="1072"/>
      <c r="N610" s="1050"/>
      <c r="O610" s="1050"/>
      <c r="P610" s="1050"/>
    </row>
    <row r="611" spans="3:16" x14ac:dyDescent="0.3">
      <c r="C611" s="1050"/>
      <c r="D611" s="1050"/>
      <c r="E611" s="1050"/>
      <c r="F611" s="1050"/>
      <c r="G611" s="1050"/>
      <c r="H611" s="1050"/>
      <c r="I611" s="1050"/>
      <c r="J611" s="1050"/>
      <c r="K611" s="1050"/>
      <c r="L611" s="1050"/>
      <c r="M611" s="1072"/>
      <c r="N611" s="1050"/>
      <c r="O611" s="1050"/>
      <c r="P611" s="1050"/>
    </row>
    <row r="612" spans="3:16" x14ac:dyDescent="0.3">
      <c r="C612" s="1050"/>
      <c r="D612" s="1050"/>
      <c r="E612" s="1050"/>
      <c r="F612" s="1050"/>
      <c r="G612" s="1050"/>
      <c r="H612" s="1050"/>
      <c r="I612" s="1050"/>
      <c r="J612" s="1050"/>
      <c r="K612" s="1050"/>
      <c r="L612" s="1050"/>
      <c r="M612" s="1072"/>
      <c r="N612" s="1050"/>
      <c r="O612" s="1050"/>
      <c r="P612" s="1050"/>
    </row>
    <row r="613" spans="3:16" x14ac:dyDescent="0.3">
      <c r="C613" s="1050"/>
      <c r="D613" s="1050"/>
      <c r="E613" s="1050"/>
      <c r="F613" s="1050"/>
      <c r="G613" s="1050"/>
      <c r="H613" s="1050"/>
      <c r="I613" s="1050"/>
      <c r="J613" s="1050"/>
      <c r="K613" s="1050"/>
      <c r="L613" s="1050"/>
      <c r="M613" s="1072"/>
      <c r="N613" s="1050"/>
      <c r="O613" s="1050"/>
      <c r="P613" s="1050"/>
    </row>
    <row r="614" spans="3:16" x14ac:dyDescent="0.3">
      <c r="C614" s="1050"/>
      <c r="D614" s="1050"/>
      <c r="E614" s="1050"/>
      <c r="F614" s="1050"/>
      <c r="G614" s="1050"/>
      <c r="H614" s="1050"/>
      <c r="I614" s="1050"/>
      <c r="J614" s="1050"/>
      <c r="K614" s="1050"/>
      <c r="L614" s="1050"/>
      <c r="M614" s="1072"/>
      <c r="N614" s="1050"/>
      <c r="O614" s="1050"/>
      <c r="P614" s="1050"/>
    </row>
    <row r="615" spans="3:16" x14ac:dyDescent="0.3">
      <c r="C615" s="1050"/>
      <c r="D615" s="1050"/>
      <c r="E615" s="1050"/>
      <c r="F615" s="1050"/>
      <c r="G615" s="1050"/>
      <c r="H615" s="1050"/>
      <c r="I615" s="1050"/>
      <c r="J615" s="1050"/>
      <c r="K615" s="1050"/>
      <c r="L615" s="1050"/>
      <c r="M615" s="1072"/>
      <c r="N615" s="1050"/>
      <c r="O615" s="1050"/>
      <c r="P615" s="1050"/>
    </row>
    <row r="616" spans="3:16" x14ac:dyDescent="0.3">
      <c r="C616" s="1050"/>
      <c r="D616" s="1050"/>
      <c r="E616" s="1050"/>
      <c r="F616" s="1050"/>
      <c r="G616" s="1050"/>
      <c r="H616" s="1050"/>
      <c r="I616" s="1050"/>
      <c r="J616" s="1050"/>
      <c r="K616" s="1050"/>
      <c r="L616" s="1050"/>
      <c r="M616" s="1072"/>
      <c r="N616" s="1050"/>
      <c r="O616" s="1050"/>
      <c r="P616" s="1050"/>
    </row>
    <row r="617" spans="3:16" x14ac:dyDescent="0.3">
      <c r="C617" s="1050"/>
      <c r="D617" s="1050"/>
      <c r="E617" s="1050"/>
      <c r="F617" s="1050"/>
      <c r="G617" s="1050"/>
      <c r="H617" s="1050"/>
      <c r="I617" s="1050"/>
      <c r="J617" s="1050"/>
      <c r="K617" s="1050"/>
      <c r="L617" s="1050"/>
      <c r="M617" s="1072"/>
      <c r="N617" s="1050"/>
      <c r="O617" s="1050"/>
      <c r="P617" s="1050"/>
    </row>
    <row r="618" spans="3:16" x14ac:dyDescent="0.3">
      <c r="C618" s="1050"/>
      <c r="D618" s="1050"/>
      <c r="E618" s="1050"/>
      <c r="F618" s="1050"/>
      <c r="G618" s="1050"/>
      <c r="H618" s="1050"/>
      <c r="I618" s="1050"/>
      <c r="J618" s="1050"/>
      <c r="K618" s="1050"/>
      <c r="L618" s="1050"/>
      <c r="M618" s="1072"/>
      <c r="N618" s="1050"/>
      <c r="O618" s="1050"/>
      <c r="P618" s="1050"/>
    </row>
    <row r="619" spans="3:16" x14ac:dyDescent="0.3">
      <c r="C619" s="1050"/>
      <c r="D619" s="1050"/>
      <c r="E619" s="1050"/>
      <c r="F619" s="1050"/>
      <c r="G619" s="1050"/>
      <c r="H619" s="1050"/>
      <c r="I619" s="1050"/>
      <c r="J619" s="1050"/>
      <c r="K619" s="1050"/>
      <c r="L619" s="1050"/>
      <c r="M619" s="1072"/>
      <c r="N619" s="1050"/>
      <c r="O619" s="1050"/>
      <c r="P619" s="1050"/>
    </row>
    <row r="620" spans="3:16" x14ac:dyDescent="0.3">
      <c r="C620" s="1050"/>
      <c r="D620" s="1050"/>
      <c r="E620" s="1050"/>
      <c r="F620" s="1050"/>
      <c r="G620" s="1050"/>
      <c r="H620" s="1050"/>
      <c r="I620" s="1050"/>
      <c r="J620" s="1050"/>
      <c r="K620" s="1050"/>
      <c r="L620" s="1050"/>
      <c r="M620" s="1072"/>
      <c r="N620" s="1050"/>
      <c r="O620" s="1050"/>
      <c r="P620" s="1050"/>
    </row>
    <row r="621" spans="3:16" x14ac:dyDescent="0.3">
      <c r="C621" s="1050"/>
      <c r="D621" s="1050"/>
      <c r="E621" s="1050"/>
      <c r="F621" s="1050"/>
      <c r="G621" s="1050"/>
      <c r="H621" s="1050"/>
      <c r="I621" s="1050"/>
      <c r="J621" s="1050"/>
      <c r="K621" s="1050"/>
      <c r="L621" s="1050"/>
      <c r="M621" s="1072"/>
      <c r="N621" s="1050"/>
      <c r="O621" s="1050"/>
      <c r="P621" s="1050"/>
    </row>
    <row r="622" spans="3:16" x14ac:dyDescent="0.3">
      <c r="C622" s="1050"/>
      <c r="D622" s="1050"/>
      <c r="E622" s="1050"/>
      <c r="F622" s="1050"/>
      <c r="G622" s="1050"/>
      <c r="H622" s="1050"/>
      <c r="I622" s="1050"/>
      <c r="J622" s="1050"/>
      <c r="K622" s="1050"/>
      <c r="L622" s="1050"/>
      <c r="M622" s="1072"/>
      <c r="N622" s="1050"/>
      <c r="O622" s="1050"/>
      <c r="P622" s="1050"/>
    </row>
    <row r="623" spans="3:16" x14ac:dyDescent="0.3">
      <c r="C623" s="1050"/>
      <c r="D623" s="1050"/>
      <c r="E623" s="1050"/>
      <c r="F623" s="1050"/>
      <c r="G623" s="1050"/>
      <c r="H623" s="1050"/>
      <c r="I623" s="1050"/>
      <c r="J623" s="1050"/>
      <c r="K623" s="1050"/>
      <c r="L623" s="1050"/>
      <c r="M623" s="1072"/>
      <c r="N623" s="1050"/>
      <c r="O623" s="1050"/>
      <c r="P623" s="1050"/>
    </row>
    <row r="624" spans="3:16" x14ac:dyDescent="0.3">
      <c r="C624" s="1050"/>
      <c r="D624" s="1050"/>
      <c r="E624" s="1050"/>
      <c r="F624" s="1050"/>
      <c r="G624" s="1050"/>
      <c r="H624" s="1050"/>
      <c r="I624" s="1050"/>
      <c r="J624" s="1050"/>
      <c r="K624" s="1050"/>
      <c r="L624" s="1050"/>
      <c r="M624" s="1072"/>
      <c r="N624" s="1050"/>
      <c r="O624" s="1050"/>
      <c r="P624" s="1050"/>
    </row>
    <row r="625" spans="3:16" x14ac:dyDescent="0.3">
      <c r="C625" s="1050"/>
      <c r="D625" s="1050"/>
      <c r="E625" s="1050"/>
      <c r="F625" s="1050"/>
      <c r="G625" s="1050"/>
      <c r="H625" s="1050"/>
      <c r="I625" s="1050"/>
      <c r="J625" s="1050"/>
      <c r="K625" s="1050"/>
      <c r="L625" s="1050"/>
      <c r="M625" s="1072"/>
      <c r="N625" s="1050"/>
      <c r="O625" s="1050"/>
      <c r="P625" s="1050"/>
    </row>
    <row r="626" spans="3:16" x14ac:dyDescent="0.3">
      <c r="C626" s="1050"/>
      <c r="D626" s="1050"/>
      <c r="E626" s="1050"/>
      <c r="F626" s="1050"/>
      <c r="G626" s="1050"/>
      <c r="H626" s="1050"/>
      <c r="I626" s="1050"/>
      <c r="J626" s="1050"/>
      <c r="K626" s="1050"/>
      <c r="L626" s="1050"/>
      <c r="M626" s="1072"/>
      <c r="N626" s="1050"/>
      <c r="O626" s="1050"/>
      <c r="P626" s="1050"/>
    </row>
    <row r="627" spans="3:16" x14ac:dyDescent="0.3">
      <c r="C627" s="1050"/>
      <c r="D627" s="1050"/>
      <c r="E627" s="1050"/>
      <c r="F627" s="1050"/>
      <c r="G627" s="1050"/>
      <c r="H627" s="1050"/>
      <c r="I627" s="1050"/>
      <c r="J627" s="1050"/>
      <c r="K627" s="1050"/>
      <c r="L627" s="1050"/>
      <c r="M627" s="1072"/>
      <c r="N627" s="1050"/>
      <c r="O627" s="1050"/>
      <c r="P627" s="1050"/>
    </row>
    <row r="628" spans="3:16" x14ac:dyDescent="0.3">
      <c r="C628" s="1050"/>
      <c r="D628" s="1050"/>
      <c r="E628" s="1050"/>
      <c r="F628" s="1050"/>
      <c r="G628" s="1050"/>
      <c r="H628" s="1050"/>
      <c r="I628" s="1050"/>
      <c r="J628" s="1050"/>
      <c r="K628" s="1050"/>
      <c r="L628" s="1050"/>
      <c r="M628" s="1072"/>
      <c r="N628" s="1050"/>
      <c r="O628" s="1050"/>
      <c r="P628" s="1050"/>
    </row>
    <row r="629" spans="3:16" x14ac:dyDescent="0.3">
      <c r="C629" s="1050"/>
      <c r="D629" s="1050"/>
      <c r="E629" s="1050"/>
      <c r="F629" s="1050"/>
      <c r="G629" s="1050"/>
      <c r="H629" s="1050"/>
      <c r="I629" s="1050"/>
      <c r="J629" s="1050"/>
      <c r="K629" s="1050"/>
      <c r="L629" s="1050"/>
      <c r="M629" s="1072"/>
      <c r="N629" s="1050"/>
      <c r="O629" s="1050"/>
      <c r="P629" s="1050"/>
    </row>
    <row r="630" spans="3:16" x14ac:dyDescent="0.3">
      <c r="C630" s="1050"/>
      <c r="D630" s="1050"/>
      <c r="E630" s="1050"/>
      <c r="F630" s="1050"/>
      <c r="G630" s="1050"/>
      <c r="H630" s="1050"/>
      <c r="I630" s="1050"/>
      <c r="J630" s="1050"/>
      <c r="K630" s="1050"/>
      <c r="L630" s="1050"/>
      <c r="M630" s="1072"/>
      <c r="N630" s="1050"/>
      <c r="O630" s="1050"/>
      <c r="P630" s="1050"/>
    </row>
    <row r="631" spans="3:16" x14ac:dyDescent="0.3">
      <c r="C631" s="1050"/>
      <c r="D631" s="1050"/>
      <c r="E631" s="1050"/>
      <c r="F631" s="1050"/>
      <c r="G631" s="1050"/>
      <c r="H631" s="1050"/>
      <c r="I631" s="1050"/>
      <c r="J631" s="1050"/>
      <c r="K631" s="1050"/>
      <c r="L631" s="1050"/>
      <c r="M631" s="1072"/>
      <c r="N631" s="1050"/>
      <c r="O631" s="1050"/>
      <c r="P631" s="1050"/>
    </row>
    <row r="632" spans="3:16" x14ac:dyDescent="0.3">
      <c r="C632" s="1050"/>
      <c r="D632" s="1050"/>
      <c r="E632" s="1050"/>
      <c r="F632" s="1050"/>
      <c r="G632" s="1050"/>
      <c r="H632" s="1050"/>
      <c r="I632" s="1050"/>
      <c r="J632" s="1050"/>
      <c r="K632" s="1050"/>
      <c r="L632" s="1050"/>
      <c r="M632" s="1072"/>
      <c r="N632" s="1050"/>
      <c r="O632" s="1050"/>
      <c r="P632" s="1050"/>
    </row>
    <row r="633" spans="3:16" x14ac:dyDescent="0.3">
      <c r="C633" s="1050"/>
      <c r="D633" s="1050"/>
      <c r="E633" s="1050"/>
      <c r="F633" s="1050"/>
      <c r="G633" s="1050"/>
      <c r="H633" s="1050"/>
      <c r="I633" s="1050"/>
      <c r="J633" s="1050"/>
      <c r="K633" s="1050"/>
      <c r="L633" s="1050"/>
      <c r="M633" s="1072"/>
      <c r="N633" s="1050"/>
      <c r="O633" s="1050"/>
      <c r="P633" s="1050"/>
    </row>
    <row r="634" spans="3:16" x14ac:dyDescent="0.3">
      <c r="C634" s="1050"/>
      <c r="D634" s="1050"/>
      <c r="E634" s="1050"/>
      <c r="F634" s="1050"/>
      <c r="G634" s="1050"/>
      <c r="H634" s="1050"/>
      <c r="I634" s="1050"/>
      <c r="J634" s="1050"/>
      <c r="K634" s="1050"/>
      <c r="L634" s="1050"/>
      <c r="M634" s="1072"/>
      <c r="N634" s="1050"/>
      <c r="O634" s="1050"/>
      <c r="P634" s="1050"/>
    </row>
    <row r="635" spans="3:16" x14ac:dyDescent="0.3">
      <c r="C635" s="1050"/>
      <c r="D635" s="1050"/>
      <c r="E635" s="1050"/>
      <c r="F635" s="1050"/>
      <c r="G635" s="1050"/>
      <c r="H635" s="1050"/>
      <c r="I635" s="1050"/>
      <c r="J635" s="1050"/>
      <c r="K635" s="1050"/>
      <c r="L635" s="1050"/>
      <c r="M635" s="1072"/>
      <c r="N635" s="1050"/>
      <c r="O635" s="1050"/>
      <c r="P635" s="1050"/>
    </row>
    <row r="636" spans="3:16" x14ac:dyDescent="0.3">
      <c r="C636" s="1050"/>
      <c r="D636" s="1050"/>
      <c r="E636" s="1050"/>
      <c r="F636" s="1050"/>
      <c r="G636" s="1050"/>
      <c r="H636" s="1050"/>
      <c r="I636" s="1050"/>
      <c r="J636" s="1050"/>
      <c r="K636" s="1050"/>
      <c r="L636" s="1050"/>
      <c r="M636" s="1072"/>
      <c r="N636" s="1050"/>
      <c r="O636" s="1050"/>
      <c r="P636" s="1050"/>
    </row>
    <row r="637" spans="3:16" x14ac:dyDescent="0.3">
      <c r="C637" s="1050"/>
      <c r="D637" s="1050"/>
      <c r="E637" s="1050"/>
      <c r="F637" s="1050"/>
      <c r="G637" s="1050"/>
      <c r="H637" s="1050"/>
      <c r="I637" s="1050"/>
      <c r="J637" s="1050"/>
      <c r="K637" s="1050"/>
      <c r="L637" s="1050"/>
      <c r="M637" s="1072"/>
      <c r="N637" s="1050"/>
      <c r="O637" s="1050"/>
      <c r="P637" s="1050"/>
    </row>
    <row r="638" spans="3:16" x14ac:dyDescent="0.3">
      <c r="C638" s="1050"/>
      <c r="D638" s="1050"/>
      <c r="E638" s="1050"/>
      <c r="F638" s="1050"/>
      <c r="G638" s="1050"/>
      <c r="H638" s="1050"/>
      <c r="I638" s="1050"/>
      <c r="J638" s="1050"/>
      <c r="K638" s="1050"/>
      <c r="L638" s="1050"/>
      <c r="M638" s="1072"/>
      <c r="N638" s="1050"/>
      <c r="O638" s="1050"/>
      <c r="P638" s="1050"/>
    </row>
    <row r="639" spans="3:16" x14ac:dyDescent="0.3">
      <c r="C639" s="1050"/>
      <c r="D639" s="1050"/>
      <c r="E639" s="1050"/>
      <c r="F639" s="1050"/>
      <c r="G639" s="1050"/>
      <c r="H639" s="1050"/>
      <c r="I639" s="1050"/>
      <c r="J639" s="1050"/>
      <c r="K639" s="1050"/>
      <c r="L639" s="1050"/>
      <c r="M639" s="1072"/>
      <c r="N639" s="1050"/>
      <c r="O639" s="1050"/>
      <c r="P639" s="1050"/>
    </row>
    <row r="640" spans="3:16" x14ac:dyDescent="0.3">
      <c r="C640" s="1050"/>
      <c r="D640" s="1050"/>
      <c r="E640" s="1050"/>
      <c r="F640" s="1050"/>
      <c r="G640" s="1050"/>
      <c r="H640" s="1050"/>
      <c r="I640" s="1050"/>
      <c r="J640" s="1050"/>
      <c r="K640" s="1050"/>
      <c r="L640" s="1050"/>
      <c r="M640" s="1072"/>
      <c r="N640" s="1050"/>
      <c r="O640" s="1050"/>
      <c r="P640" s="1050"/>
    </row>
    <row r="641" spans="3:16" x14ac:dyDescent="0.3">
      <c r="C641" s="1050"/>
      <c r="D641" s="1050"/>
      <c r="E641" s="1050"/>
      <c r="F641" s="1050"/>
      <c r="G641" s="1050"/>
      <c r="H641" s="1050"/>
      <c r="I641" s="1050"/>
      <c r="J641" s="1050"/>
      <c r="K641" s="1050"/>
      <c r="L641" s="1050"/>
      <c r="M641" s="1072"/>
      <c r="N641" s="1050"/>
      <c r="O641" s="1050"/>
      <c r="P641" s="1050"/>
    </row>
    <row r="642" spans="3:16" x14ac:dyDescent="0.3">
      <c r="C642" s="1050"/>
      <c r="D642" s="1050"/>
      <c r="E642" s="1050"/>
      <c r="F642" s="1050"/>
      <c r="G642" s="1050"/>
      <c r="H642" s="1050"/>
      <c r="I642" s="1050"/>
      <c r="J642" s="1050"/>
      <c r="K642" s="1050"/>
      <c r="L642" s="1050"/>
      <c r="M642" s="1072"/>
      <c r="N642" s="1050"/>
      <c r="O642" s="1050"/>
      <c r="P642" s="1050"/>
    </row>
    <row r="643" spans="3:16" x14ac:dyDescent="0.3">
      <c r="C643" s="1050"/>
      <c r="D643" s="1050"/>
      <c r="E643" s="1050"/>
      <c r="F643" s="1050"/>
      <c r="G643" s="1050"/>
      <c r="H643" s="1050"/>
      <c r="I643" s="1050"/>
      <c r="J643" s="1050"/>
      <c r="K643" s="1050"/>
      <c r="L643" s="1050"/>
      <c r="M643" s="1072"/>
      <c r="N643" s="1050"/>
      <c r="O643" s="1050"/>
      <c r="P643" s="1050"/>
    </row>
    <row r="644" spans="3:16" x14ac:dyDescent="0.3">
      <c r="C644" s="1050"/>
      <c r="D644" s="1050"/>
      <c r="E644" s="1050"/>
      <c r="F644" s="1050"/>
      <c r="G644" s="1050"/>
      <c r="H644" s="1050"/>
      <c r="I644" s="1050"/>
      <c r="J644" s="1050"/>
      <c r="K644" s="1050"/>
      <c r="L644" s="1050"/>
      <c r="M644" s="1072"/>
      <c r="N644" s="1050"/>
      <c r="O644" s="1050"/>
      <c r="P644" s="1050"/>
    </row>
    <row r="645" spans="3:16" x14ac:dyDescent="0.3">
      <c r="C645" s="1050"/>
      <c r="D645" s="1050"/>
      <c r="E645" s="1050"/>
      <c r="F645" s="1050"/>
      <c r="G645" s="1050"/>
      <c r="H645" s="1050"/>
      <c r="I645" s="1050"/>
      <c r="J645" s="1050"/>
      <c r="K645" s="1050"/>
      <c r="L645" s="1050"/>
      <c r="M645" s="1072"/>
      <c r="N645" s="1050"/>
      <c r="O645" s="1050"/>
      <c r="P645" s="1050"/>
    </row>
    <row r="646" spans="3:16" x14ac:dyDescent="0.3">
      <c r="C646" s="1050"/>
      <c r="D646" s="1050"/>
      <c r="E646" s="1050"/>
      <c r="F646" s="1050"/>
      <c r="G646" s="1050"/>
      <c r="H646" s="1050"/>
      <c r="I646" s="1050"/>
      <c r="J646" s="1050"/>
      <c r="K646" s="1050"/>
      <c r="L646" s="1050"/>
      <c r="M646" s="1072"/>
      <c r="N646" s="1050"/>
      <c r="O646" s="1050"/>
      <c r="P646" s="1050"/>
    </row>
    <row r="647" spans="3:16" x14ac:dyDescent="0.3">
      <c r="C647" s="1050"/>
      <c r="D647" s="1050"/>
      <c r="E647" s="1050"/>
      <c r="F647" s="1050"/>
      <c r="G647" s="1050"/>
      <c r="H647" s="1050"/>
      <c r="I647" s="1050"/>
      <c r="J647" s="1050"/>
      <c r="K647" s="1050"/>
      <c r="L647" s="1050"/>
      <c r="M647" s="1072"/>
      <c r="N647" s="1050"/>
      <c r="O647" s="1050"/>
      <c r="P647" s="1050"/>
    </row>
    <row r="648" spans="3:16" x14ac:dyDescent="0.3">
      <c r="C648" s="1050"/>
      <c r="D648" s="1050"/>
      <c r="E648" s="1050"/>
      <c r="F648" s="1050"/>
      <c r="G648" s="1050"/>
      <c r="H648" s="1050"/>
      <c r="I648" s="1050"/>
      <c r="J648" s="1050"/>
      <c r="K648" s="1050"/>
      <c r="L648" s="1050"/>
      <c r="M648" s="1072"/>
      <c r="N648" s="1050"/>
      <c r="O648" s="1050"/>
      <c r="P648" s="1050"/>
    </row>
    <row r="649" spans="3:16" x14ac:dyDescent="0.3">
      <c r="C649" s="1050"/>
      <c r="D649" s="1050"/>
      <c r="E649" s="1050"/>
      <c r="F649" s="1050"/>
      <c r="G649" s="1050"/>
      <c r="H649" s="1050"/>
      <c r="I649" s="1050"/>
      <c r="J649" s="1050"/>
      <c r="K649" s="1050"/>
      <c r="L649" s="1050"/>
      <c r="M649" s="1072"/>
      <c r="N649" s="1050"/>
      <c r="O649" s="1050"/>
      <c r="P649" s="1050"/>
    </row>
    <row r="650" spans="3:16" x14ac:dyDescent="0.3">
      <c r="C650" s="1050"/>
      <c r="D650" s="1050"/>
      <c r="E650" s="1050"/>
      <c r="F650" s="1050"/>
      <c r="G650" s="1050"/>
      <c r="H650" s="1050"/>
      <c r="I650" s="1050"/>
      <c r="J650" s="1050"/>
      <c r="K650" s="1050"/>
      <c r="L650" s="1050"/>
      <c r="M650" s="1072"/>
      <c r="N650" s="1050"/>
      <c r="O650" s="1050"/>
      <c r="P650" s="1050"/>
    </row>
    <row r="651" spans="3:16" x14ac:dyDescent="0.3">
      <c r="C651" s="1050"/>
      <c r="D651" s="1050"/>
      <c r="E651" s="1050"/>
      <c r="F651" s="1050"/>
      <c r="G651" s="1050"/>
      <c r="H651" s="1050"/>
      <c r="I651" s="1050"/>
      <c r="J651" s="1050"/>
      <c r="K651" s="1050"/>
      <c r="L651" s="1050"/>
      <c r="M651" s="1072"/>
      <c r="N651" s="1050"/>
      <c r="O651" s="1050"/>
      <c r="P651" s="1050"/>
    </row>
    <row r="652" spans="3:16" x14ac:dyDescent="0.3">
      <c r="C652" s="1050"/>
      <c r="D652" s="1050"/>
      <c r="E652" s="1050"/>
      <c r="F652" s="1050"/>
      <c r="G652" s="1050"/>
      <c r="H652" s="1050"/>
      <c r="I652" s="1050"/>
      <c r="J652" s="1050"/>
      <c r="K652" s="1050"/>
      <c r="L652" s="1050"/>
      <c r="M652" s="1072"/>
      <c r="N652" s="1050"/>
      <c r="O652" s="1050"/>
      <c r="P652" s="1050"/>
    </row>
    <row r="653" spans="3:16" x14ac:dyDescent="0.3">
      <c r="C653" s="1050"/>
      <c r="D653" s="1050"/>
      <c r="E653" s="1050"/>
      <c r="F653" s="1050"/>
      <c r="G653" s="1050"/>
      <c r="H653" s="1050"/>
      <c r="I653" s="1050"/>
      <c r="J653" s="1050"/>
      <c r="K653" s="1050"/>
      <c r="L653" s="1050"/>
      <c r="M653" s="1072"/>
      <c r="N653" s="1050"/>
      <c r="O653" s="1050"/>
      <c r="P653" s="1050"/>
    </row>
    <row r="654" spans="3:16" x14ac:dyDescent="0.3">
      <c r="C654" s="1050"/>
      <c r="D654" s="1050"/>
      <c r="E654" s="1050"/>
      <c r="F654" s="1050"/>
      <c r="G654" s="1050"/>
      <c r="H654" s="1050"/>
      <c r="I654" s="1050"/>
      <c r="J654" s="1050"/>
      <c r="K654" s="1050"/>
      <c r="L654" s="1050"/>
      <c r="M654" s="1072"/>
      <c r="N654" s="1050"/>
      <c r="O654" s="1050"/>
      <c r="P654" s="1050"/>
    </row>
    <row r="655" spans="3:16" x14ac:dyDescent="0.3">
      <c r="C655" s="1050"/>
      <c r="D655" s="1050"/>
      <c r="E655" s="1050"/>
      <c r="F655" s="1050"/>
      <c r="G655" s="1050"/>
      <c r="H655" s="1050"/>
      <c r="I655" s="1050"/>
      <c r="J655" s="1050"/>
      <c r="K655" s="1050"/>
      <c r="L655" s="1050"/>
      <c r="M655" s="1072"/>
      <c r="N655" s="1050"/>
      <c r="O655" s="1050"/>
      <c r="P655" s="1050"/>
    </row>
    <row r="656" spans="3:16" x14ac:dyDescent="0.3">
      <c r="C656" s="1050"/>
      <c r="D656" s="1050"/>
      <c r="E656" s="1050"/>
      <c r="F656" s="1050"/>
      <c r="G656" s="1050"/>
      <c r="H656" s="1050"/>
      <c r="I656" s="1050"/>
      <c r="J656" s="1050"/>
      <c r="K656" s="1050"/>
      <c r="L656" s="1050"/>
      <c r="M656" s="1072"/>
      <c r="N656" s="1050"/>
      <c r="O656" s="1050"/>
      <c r="P656" s="1050"/>
    </row>
    <row r="657" spans="3:16" x14ac:dyDescent="0.3">
      <c r="C657" s="1050"/>
      <c r="D657" s="1050"/>
      <c r="E657" s="1050"/>
      <c r="F657" s="1050"/>
      <c r="G657" s="1050"/>
      <c r="H657" s="1050"/>
      <c r="I657" s="1050"/>
      <c r="J657" s="1050"/>
      <c r="K657" s="1050"/>
      <c r="L657" s="1050"/>
      <c r="M657" s="1072"/>
      <c r="N657" s="1050"/>
      <c r="O657" s="1050"/>
      <c r="P657" s="1050"/>
    </row>
    <row r="658" spans="3:16" x14ac:dyDescent="0.3">
      <c r="C658" s="1050"/>
      <c r="D658" s="1050"/>
      <c r="E658" s="1050"/>
      <c r="F658" s="1050"/>
      <c r="G658" s="1050"/>
      <c r="H658" s="1050"/>
      <c r="I658" s="1050"/>
      <c r="J658" s="1050"/>
      <c r="K658" s="1050"/>
      <c r="L658" s="1050"/>
      <c r="M658" s="1072"/>
      <c r="N658" s="1050"/>
      <c r="O658" s="1050"/>
      <c r="P658" s="1050"/>
    </row>
    <row r="659" spans="3:16" x14ac:dyDescent="0.3">
      <c r="C659" s="1050"/>
      <c r="D659" s="1050"/>
      <c r="E659" s="1050"/>
      <c r="F659" s="1050"/>
      <c r="G659" s="1050"/>
      <c r="H659" s="1050"/>
      <c r="I659" s="1050"/>
      <c r="J659" s="1050"/>
      <c r="K659" s="1050"/>
      <c r="L659" s="1050"/>
      <c r="M659" s="1072"/>
      <c r="N659" s="1050"/>
      <c r="O659" s="1050"/>
      <c r="P659" s="1050"/>
    </row>
    <row r="660" spans="3:16" x14ac:dyDescent="0.3">
      <c r="C660" s="1050"/>
      <c r="D660" s="1050"/>
      <c r="E660" s="1050"/>
      <c r="F660" s="1050"/>
      <c r="G660" s="1050"/>
      <c r="H660" s="1050"/>
      <c r="I660" s="1050"/>
      <c r="J660" s="1050"/>
      <c r="K660" s="1050"/>
      <c r="L660" s="1050"/>
      <c r="M660" s="1072"/>
      <c r="N660" s="1050"/>
      <c r="O660" s="1050"/>
      <c r="P660" s="1050"/>
    </row>
    <row r="661" spans="3:16" x14ac:dyDescent="0.3">
      <c r="C661" s="1050"/>
      <c r="D661" s="1050"/>
      <c r="E661" s="1050"/>
      <c r="F661" s="1050"/>
      <c r="G661" s="1050"/>
      <c r="H661" s="1050"/>
      <c r="I661" s="1050"/>
      <c r="J661" s="1050"/>
      <c r="K661" s="1050"/>
      <c r="L661" s="1050"/>
      <c r="M661" s="1072"/>
      <c r="N661" s="1050"/>
      <c r="O661" s="1050"/>
      <c r="P661" s="1050"/>
    </row>
    <row r="662" spans="3:16" x14ac:dyDescent="0.3">
      <c r="C662" s="1050"/>
      <c r="D662" s="1050"/>
      <c r="E662" s="1050"/>
      <c r="F662" s="1050"/>
      <c r="G662" s="1050"/>
      <c r="H662" s="1050"/>
      <c r="I662" s="1050"/>
      <c r="J662" s="1050"/>
      <c r="K662" s="1050"/>
      <c r="L662" s="1050"/>
      <c r="M662" s="1072"/>
      <c r="N662" s="1050"/>
      <c r="O662" s="1050"/>
      <c r="P662" s="1050"/>
    </row>
    <row r="663" spans="3:16" x14ac:dyDescent="0.3">
      <c r="C663" s="1050"/>
      <c r="D663" s="1050"/>
      <c r="E663" s="1050"/>
      <c r="F663" s="1050"/>
      <c r="G663" s="1050"/>
      <c r="H663" s="1050"/>
      <c r="I663" s="1050"/>
      <c r="J663" s="1050"/>
      <c r="K663" s="1050"/>
      <c r="L663" s="1050"/>
      <c r="M663" s="1072"/>
      <c r="N663" s="1050"/>
      <c r="O663" s="1050"/>
      <c r="P663" s="1050"/>
    </row>
    <row r="664" spans="3:16" x14ac:dyDescent="0.3">
      <c r="C664" s="1050"/>
      <c r="D664" s="1050"/>
      <c r="E664" s="1050"/>
      <c r="F664" s="1050"/>
      <c r="G664" s="1050"/>
      <c r="H664" s="1050"/>
      <c r="I664" s="1050"/>
      <c r="J664" s="1050"/>
      <c r="K664" s="1050"/>
      <c r="L664" s="1050"/>
      <c r="M664" s="1072"/>
      <c r="N664" s="1050"/>
      <c r="O664" s="1050"/>
      <c r="P664" s="1050"/>
    </row>
    <row r="665" spans="3:16" x14ac:dyDescent="0.3">
      <c r="C665" s="1050"/>
      <c r="D665" s="1050"/>
      <c r="E665" s="1050"/>
      <c r="F665" s="1050"/>
      <c r="G665" s="1050"/>
      <c r="H665" s="1050"/>
      <c r="I665" s="1050"/>
      <c r="J665" s="1050"/>
      <c r="K665" s="1050"/>
      <c r="L665" s="1050"/>
      <c r="M665" s="1072"/>
      <c r="N665" s="1050"/>
      <c r="O665" s="1050"/>
      <c r="P665" s="1050"/>
    </row>
    <row r="666" spans="3:16" x14ac:dyDescent="0.3">
      <c r="C666" s="1050"/>
      <c r="D666" s="1050"/>
      <c r="E666" s="1050"/>
      <c r="F666" s="1050"/>
      <c r="G666" s="1050"/>
      <c r="H666" s="1050"/>
      <c r="I666" s="1050"/>
      <c r="J666" s="1050"/>
      <c r="K666" s="1050"/>
      <c r="L666" s="1050"/>
      <c r="M666" s="1072"/>
      <c r="N666" s="1050"/>
      <c r="O666" s="1050"/>
      <c r="P666" s="1050"/>
    </row>
    <row r="667" spans="3:16" x14ac:dyDescent="0.3">
      <c r="C667" s="1050"/>
      <c r="D667" s="1050"/>
      <c r="E667" s="1050"/>
      <c r="F667" s="1050"/>
      <c r="G667" s="1050"/>
      <c r="H667" s="1050"/>
      <c r="I667" s="1050"/>
      <c r="J667" s="1050"/>
      <c r="K667" s="1050"/>
      <c r="L667" s="1050"/>
      <c r="M667" s="1072"/>
      <c r="N667" s="1050"/>
      <c r="O667" s="1050"/>
      <c r="P667" s="1050"/>
    </row>
    <row r="668" spans="3:16" x14ac:dyDescent="0.3">
      <c r="C668" s="1050"/>
      <c r="D668" s="1050"/>
      <c r="E668" s="1050"/>
      <c r="F668" s="1050"/>
      <c r="G668" s="1050"/>
      <c r="H668" s="1050"/>
      <c r="I668" s="1050"/>
      <c r="J668" s="1050"/>
      <c r="K668" s="1050"/>
      <c r="L668" s="1050"/>
      <c r="M668" s="1072"/>
      <c r="N668" s="1050"/>
      <c r="O668" s="1050"/>
      <c r="P668" s="1050"/>
    </row>
    <row r="669" spans="3:16" x14ac:dyDescent="0.3">
      <c r="C669" s="1050"/>
      <c r="D669" s="1050"/>
      <c r="E669" s="1050"/>
      <c r="F669" s="1050"/>
      <c r="G669" s="1050"/>
      <c r="H669" s="1050"/>
      <c r="I669" s="1050"/>
      <c r="J669" s="1050"/>
      <c r="K669" s="1050"/>
      <c r="L669" s="1050"/>
      <c r="M669" s="1072"/>
      <c r="N669" s="1050"/>
      <c r="O669" s="1050"/>
      <c r="P669" s="1050"/>
    </row>
    <row r="670" spans="3:16" x14ac:dyDescent="0.3">
      <c r="C670" s="1050"/>
      <c r="D670" s="1050"/>
      <c r="E670" s="1050"/>
      <c r="F670" s="1050"/>
      <c r="G670" s="1050"/>
      <c r="H670" s="1050"/>
      <c r="I670" s="1050"/>
      <c r="J670" s="1050"/>
      <c r="K670" s="1050"/>
      <c r="L670" s="1050"/>
      <c r="M670" s="1072"/>
      <c r="N670" s="1050"/>
      <c r="O670" s="1050"/>
      <c r="P670" s="1050"/>
    </row>
    <row r="671" spans="3:16" x14ac:dyDescent="0.3">
      <c r="C671" s="1050"/>
      <c r="D671" s="1050"/>
      <c r="E671" s="1050"/>
      <c r="F671" s="1050"/>
      <c r="G671" s="1050"/>
      <c r="H671" s="1050"/>
      <c r="I671" s="1050"/>
      <c r="J671" s="1050"/>
      <c r="K671" s="1050"/>
      <c r="L671" s="1050"/>
      <c r="M671" s="1072"/>
      <c r="N671" s="1050"/>
      <c r="O671" s="1050"/>
      <c r="P671" s="1050"/>
    </row>
    <row r="672" spans="3:16" x14ac:dyDescent="0.3">
      <c r="C672" s="1050"/>
      <c r="D672" s="1050"/>
      <c r="E672" s="1050"/>
      <c r="F672" s="1050"/>
      <c r="G672" s="1050"/>
      <c r="H672" s="1050"/>
      <c r="I672" s="1050"/>
      <c r="J672" s="1050"/>
      <c r="K672" s="1050"/>
      <c r="L672" s="1050"/>
      <c r="M672" s="1072"/>
      <c r="N672" s="1050"/>
      <c r="O672" s="1050"/>
      <c r="P672" s="1050"/>
    </row>
    <row r="673" spans="3:16" x14ac:dyDescent="0.3">
      <c r="C673" s="1050"/>
      <c r="D673" s="1050"/>
      <c r="E673" s="1050"/>
      <c r="F673" s="1050"/>
      <c r="G673" s="1050"/>
      <c r="H673" s="1050"/>
      <c r="I673" s="1050"/>
      <c r="J673" s="1050"/>
      <c r="K673" s="1050"/>
      <c r="L673" s="1050"/>
      <c r="M673" s="1072"/>
      <c r="N673" s="1050"/>
      <c r="O673" s="1050"/>
      <c r="P673" s="1050"/>
    </row>
    <row r="674" spans="3:16" x14ac:dyDescent="0.3">
      <c r="C674" s="1050"/>
      <c r="D674" s="1050"/>
      <c r="E674" s="1050"/>
      <c r="F674" s="1050"/>
      <c r="G674" s="1050"/>
      <c r="H674" s="1050"/>
      <c r="I674" s="1050"/>
      <c r="J674" s="1050"/>
      <c r="K674" s="1050"/>
      <c r="L674" s="1050"/>
      <c r="M674" s="1072"/>
      <c r="N674" s="1050"/>
      <c r="O674" s="1050"/>
      <c r="P674" s="1050"/>
    </row>
    <row r="675" spans="3:16" x14ac:dyDescent="0.3">
      <c r="C675" s="1050"/>
      <c r="D675" s="1050"/>
      <c r="E675" s="1050"/>
      <c r="F675" s="1050"/>
      <c r="G675" s="1050"/>
      <c r="H675" s="1050"/>
      <c r="I675" s="1050"/>
      <c r="J675" s="1050"/>
      <c r="K675" s="1050"/>
      <c r="L675" s="1050"/>
      <c r="M675" s="1072"/>
      <c r="N675" s="1050"/>
      <c r="O675" s="1050"/>
      <c r="P675" s="1050"/>
    </row>
    <row r="676" spans="3:16" x14ac:dyDescent="0.3">
      <c r="C676" s="1050"/>
      <c r="D676" s="1050"/>
      <c r="E676" s="1050"/>
      <c r="F676" s="1050"/>
      <c r="G676" s="1050"/>
      <c r="H676" s="1050"/>
      <c r="I676" s="1050"/>
      <c r="J676" s="1050"/>
      <c r="K676" s="1050"/>
      <c r="L676" s="1050"/>
      <c r="M676" s="1072"/>
      <c r="N676" s="1050"/>
      <c r="O676" s="1050"/>
      <c r="P676" s="1050"/>
    </row>
    <row r="677" spans="3:16" x14ac:dyDescent="0.3">
      <c r="C677" s="1050"/>
      <c r="D677" s="1050"/>
      <c r="E677" s="1050"/>
      <c r="F677" s="1050"/>
      <c r="G677" s="1050"/>
      <c r="H677" s="1050"/>
      <c r="I677" s="1050"/>
      <c r="J677" s="1050"/>
      <c r="K677" s="1050"/>
      <c r="L677" s="1050"/>
      <c r="M677" s="1072"/>
      <c r="N677" s="1050"/>
      <c r="O677" s="1050"/>
      <c r="P677" s="1050"/>
    </row>
    <row r="678" spans="3:16" x14ac:dyDescent="0.3">
      <c r="C678" s="1050"/>
      <c r="D678" s="1050"/>
      <c r="E678" s="1050"/>
      <c r="F678" s="1050"/>
      <c r="G678" s="1050"/>
      <c r="H678" s="1050"/>
      <c r="I678" s="1050"/>
      <c r="J678" s="1050"/>
      <c r="K678" s="1050"/>
      <c r="L678" s="1050"/>
      <c r="M678" s="1072"/>
      <c r="N678" s="1050"/>
      <c r="O678" s="1050"/>
      <c r="P678" s="1050"/>
    </row>
    <row r="679" spans="3:16" x14ac:dyDescent="0.3">
      <c r="C679" s="1050"/>
      <c r="D679" s="1050"/>
      <c r="E679" s="1050"/>
      <c r="F679" s="1050"/>
      <c r="G679" s="1050"/>
      <c r="H679" s="1050"/>
      <c r="I679" s="1050"/>
      <c r="J679" s="1050"/>
      <c r="K679" s="1050"/>
      <c r="L679" s="1050"/>
      <c r="M679" s="1072"/>
      <c r="N679" s="1050"/>
      <c r="O679" s="1050"/>
      <c r="P679" s="1050"/>
    </row>
    <row r="680" spans="3:16" x14ac:dyDescent="0.3">
      <c r="C680" s="1050"/>
      <c r="D680" s="1050"/>
      <c r="E680" s="1050"/>
      <c r="F680" s="1050"/>
      <c r="G680" s="1050"/>
      <c r="H680" s="1050"/>
      <c r="I680" s="1050"/>
      <c r="J680" s="1050"/>
      <c r="K680" s="1050"/>
      <c r="L680" s="1050"/>
      <c r="M680" s="1072"/>
      <c r="N680" s="1050"/>
      <c r="O680" s="1050"/>
      <c r="P680" s="1050"/>
    </row>
    <row r="681" spans="3:16" x14ac:dyDescent="0.3">
      <c r="C681" s="1050"/>
      <c r="D681" s="1050"/>
      <c r="E681" s="1050"/>
      <c r="F681" s="1050"/>
      <c r="G681" s="1050"/>
      <c r="H681" s="1050"/>
      <c r="I681" s="1050"/>
      <c r="J681" s="1050"/>
      <c r="K681" s="1050"/>
      <c r="L681" s="1050"/>
      <c r="M681" s="1072"/>
      <c r="N681" s="1050"/>
      <c r="O681" s="1050"/>
      <c r="P681" s="1050"/>
    </row>
    <row r="682" spans="3:16" x14ac:dyDescent="0.3">
      <c r="C682" s="1050"/>
      <c r="D682" s="1050"/>
      <c r="E682" s="1050"/>
      <c r="F682" s="1050"/>
      <c r="G682" s="1050"/>
      <c r="H682" s="1050"/>
      <c r="I682" s="1050"/>
      <c r="J682" s="1050"/>
      <c r="K682" s="1050"/>
      <c r="L682" s="1050"/>
      <c r="M682" s="1072"/>
      <c r="N682" s="1050"/>
      <c r="O682" s="1050"/>
      <c r="P682" s="1050"/>
    </row>
    <row r="683" spans="3:16" x14ac:dyDescent="0.3">
      <c r="C683" s="1050"/>
      <c r="D683" s="1050"/>
      <c r="E683" s="1050"/>
      <c r="F683" s="1050"/>
      <c r="G683" s="1050"/>
      <c r="H683" s="1050"/>
      <c r="I683" s="1050"/>
      <c r="J683" s="1050"/>
      <c r="K683" s="1050"/>
      <c r="L683" s="1050"/>
      <c r="M683" s="1072"/>
      <c r="N683" s="1050"/>
      <c r="O683" s="1050"/>
      <c r="P683" s="1050"/>
    </row>
    <row r="684" spans="3:16" x14ac:dyDescent="0.3">
      <c r="C684" s="1050"/>
      <c r="D684" s="1050"/>
      <c r="E684" s="1050"/>
      <c r="F684" s="1050"/>
      <c r="G684" s="1050"/>
      <c r="H684" s="1050"/>
      <c r="I684" s="1050"/>
      <c r="J684" s="1050"/>
      <c r="K684" s="1050"/>
      <c r="L684" s="1050"/>
      <c r="M684" s="1072"/>
      <c r="N684" s="1050"/>
      <c r="O684" s="1050"/>
      <c r="P684" s="1050"/>
    </row>
    <row r="685" spans="3:16" x14ac:dyDescent="0.3">
      <c r="C685" s="1050"/>
      <c r="D685" s="1050"/>
      <c r="E685" s="1050"/>
      <c r="F685" s="1050"/>
      <c r="G685" s="1050"/>
      <c r="H685" s="1050"/>
      <c r="I685" s="1050"/>
      <c r="J685" s="1050"/>
      <c r="K685" s="1050"/>
      <c r="L685" s="1050"/>
      <c r="M685" s="1072"/>
      <c r="N685" s="1050"/>
      <c r="O685" s="1050"/>
      <c r="P685" s="1050"/>
    </row>
    <row r="686" spans="3:16" x14ac:dyDescent="0.3">
      <c r="C686" s="1050"/>
      <c r="D686" s="1050"/>
      <c r="E686" s="1050"/>
      <c r="F686" s="1050"/>
      <c r="G686" s="1050"/>
      <c r="H686" s="1050"/>
      <c r="I686" s="1050"/>
      <c r="J686" s="1050"/>
      <c r="K686" s="1050"/>
      <c r="L686" s="1050"/>
      <c r="M686" s="1072"/>
      <c r="N686" s="1050"/>
      <c r="O686" s="1050"/>
      <c r="P686" s="1050"/>
    </row>
    <row r="687" spans="3:16" x14ac:dyDescent="0.3">
      <c r="C687" s="1050"/>
      <c r="D687" s="1050"/>
      <c r="E687" s="1050"/>
      <c r="F687" s="1050"/>
      <c r="G687" s="1050"/>
      <c r="H687" s="1050"/>
      <c r="I687" s="1050"/>
      <c r="J687" s="1050"/>
      <c r="K687" s="1050"/>
      <c r="L687" s="1050"/>
      <c r="M687" s="1072"/>
      <c r="N687" s="1050"/>
      <c r="O687" s="1050"/>
      <c r="P687" s="1050"/>
    </row>
    <row r="688" spans="3:16" x14ac:dyDescent="0.3">
      <c r="C688" s="1050"/>
      <c r="D688" s="1050"/>
      <c r="E688" s="1050"/>
      <c r="F688" s="1050"/>
      <c r="G688" s="1050"/>
      <c r="H688" s="1050"/>
      <c r="I688" s="1050"/>
      <c r="J688" s="1050"/>
      <c r="K688" s="1050"/>
      <c r="L688" s="1050"/>
      <c r="M688" s="1072"/>
      <c r="N688" s="1050"/>
      <c r="O688" s="1050"/>
      <c r="P688" s="1050"/>
    </row>
    <row r="689" spans="3:16" x14ac:dyDescent="0.3">
      <c r="C689" s="1050"/>
      <c r="D689" s="1050"/>
      <c r="E689" s="1050"/>
      <c r="F689" s="1050"/>
      <c r="G689" s="1050"/>
      <c r="H689" s="1050"/>
      <c r="I689" s="1050"/>
      <c r="J689" s="1050"/>
      <c r="K689" s="1050"/>
      <c r="L689" s="1050"/>
      <c r="M689" s="1072"/>
      <c r="N689" s="1050"/>
      <c r="O689" s="1050"/>
      <c r="P689" s="1050"/>
    </row>
    <row r="690" spans="3:16" x14ac:dyDescent="0.3">
      <c r="C690" s="1050"/>
      <c r="D690" s="1050"/>
      <c r="E690" s="1050"/>
      <c r="F690" s="1050"/>
      <c r="G690" s="1050"/>
      <c r="H690" s="1050"/>
      <c r="I690" s="1050"/>
      <c r="J690" s="1050"/>
      <c r="K690" s="1050"/>
      <c r="L690" s="1050"/>
      <c r="M690" s="1072"/>
      <c r="N690" s="1050"/>
      <c r="O690" s="1050"/>
      <c r="P690" s="1050"/>
    </row>
    <row r="691" spans="3:16" x14ac:dyDescent="0.3">
      <c r="C691" s="1050"/>
      <c r="D691" s="1050"/>
      <c r="E691" s="1050"/>
      <c r="F691" s="1050"/>
      <c r="G691" s="1050"/>
      <c r="H691" s="1050"/>
      <c r="I691" s="1050"/>
      <c r="J691" s="1050"/>
      <c r="K691" s="1050"/>
      <c r="L691" s="1050"/>
      <c r="M691" s="1072"/>
      <c r="N691" s="1050"/>
      <c r="O691" s="1050"/>
      <c r="P691" s="1050"/>
    </row>
    <row r="692" spans="3:16" x14ac:dyDescent="0.3">
      <c r="C692" s="1050"/>
      <c r="D692" s="1050"/>
      <c r="E692" s="1050"/>
      <c r="F692" s="1050"/>
      <c r="G692" s="1050"/>
      <c r="H692" s="1050"/>
      <c r="I692" s="1050"/>
      <c r="J692" s="1050"/>
      <c r="K692" s="1050"/>
      <c r="L692" s="1050"/>
      <c r="M692" s="1072"/>
      <c r="N692" s="1050"/>
      <c r="O692" s="1050"/>
      <c r="P692" s="1050"/>
    </row>
    <row r="693" spans="3:16" x14ac:dyDescent="0.3">
      <c r="C693" s="1050"/>
      <c r="D693" s="1050"/>
      <c r="E693" s="1050"/>
      <c r="F693" s="1050"/>
      <c r="G693" s="1050"/>
      <c r="H693" s="1050"/>
      <c r="I693" s="1050"/>
      <c r="J693" s="1050"/>
      <c r="K693" s="1050"/>
      <c r="L693" s="1050"/>
      <c r="M693" s="1072"/>
      <c r="N693" s="1050"/>
      <c r="O693" s="1050"/>
      <c r="P693" s="1050"/>
    </row>
    <row r="694" spans="3:16" x14ac:dyDescent="0.3">
      <c r="C694" s="1050"/>
      <c r="D694" s="1050"/>
      <c r="E694" s="1050"/>
      <c r="F694" s="1050"/>
      <c r="G694" s="1050"/>
      <c r="H694" s="1050"/>
      <c r="I694" s="1050"/>
      <c r="J694" s="1050"/>
      <c r="K694" s="1050"/>
      <c r="L694" s="1050"/>
      <c r="M694" s="1072"/>
      <c r="N694" s="1050"/>
      <c r="O694" s="1050"/>
      <c r="P694" s="1050"/>
    </row>
    <row r="695" spans="3:16" x14ac:dyDescent="0.3">
      <c r="C695" s="1050"/>
      <c r="D695" s="1050"/>
      <c r="E695" s="1050"/>
      <c r="F695" s="1050"/>
      <c r="G695" s="1050"/>
      <c r="H695" s="1050"/>
      <c r="I695" s="1050"/>
      <c r="J695" s="1050"/>
      <c r="K695" s="1050"/>
      <c r="L695" s="1050"/>
      <c r="M695" s="1072"/>
      <c r="N695" s="1050"/>
      <c r="O695" s="1050"/>
      <c r="P695" s="1050"/>
    </row>
    <row r="696" spans="3:16" x14ac:dyDescent="0.3">
      <c r="C696" s="1050"/>
      <c r="D696" s="1050"/>
      <c r="E696" s="1050"/>
      <c r="F696" s="1050"/>
      <c r="G696" s="1050"/>
      <c r="H696" s="1050"/>
      <c r="I696" s="1050"/>
      <c r="J696" s="1050"/>
      <c r="K696" s="1050"/>
      <c r="L696" s="1050"/>
      <c r="M696" s="1072"/>
      <c r="N696" s="1050"/>
      <c r="O696" s="1050"/>
      <c r="P696" s="1050"/>
    </row>
    <row r="697" spans="3:16" x14ac:dyDescent="0.3">
      <c r="C697" s="1050"/>
      <c r="D697" s="1050"/>
      <c r="E697" s="1050"/>
      <c r="F697" s="1050"/>
      <c r="G697" s="1050"/>
      <c r="H697" s="1050"/>
      <c r="I697" s="1050"/>
      <c r="J697" s="1050"/>
      <c r="K697" s="1050"/>
      <c r="L697" s="1050"/>
      <c r="M697" s="1072"/>
      <c r="N697" s="1050"/>
      <c r="O697" s="1050"/>
      <c r="P697" s="1050"/>
    </row>
    <row r="698" spans="3:16" x14ac:dyDescent="0.3">
      <c r="C698" s="1050"/>
      <c r="D698" s="1050"/>
      <c r="E698" s="1050"/>
      <c r="F698" s="1050"/>
      <c r="G698" s="1050"/>
      <c r="H698" s="1050"/>
      <c r="I698" s="1050"/>
      <c r="J698" s="1050"/>
      <c r="K698" s="1050"/>
      <c r="L698" s="1050"/>
      <c r="M698" s="1072"/>
      <c r="N698" s="1050"/>
      <c r="O698" s="1050"/>
      <c r="P698" s="1050"/>
    </row>
    <row r="699" spans="3:16" x14ac:dyDescent="0.3">
      <c r="C699" s="1050"/>
      <c r="D699" s="1050"/>
      <c r="E699" s="1050"/>
      <c r="F699" s="1050"/>
      <c r="G699" s="1050"/>
      <c r="H699" s="1050"/>
      <c r="I699" s="1050"/>
      <c r="J699" s="1050"/>
      <c r="K699" s="1050"/>
      <c r="L699" s="1050"/>
      <c r="M699" s="1072"/>
      <c r="N699" s="1050"/>
      <c r="O699" s="1050"/>
      <c r="P699" s="1050"/>
    </row>
    <row r="700" spans="3:16" x14ac:dyDescent="0.3">
      <c r="C700" s="1050"/>
      <c r="D700" s="1050"/>
      <c r="E700" s="1050"/>
      <c r="F700" s="1050"/>
      <c r="G700" s="1050"/>
      <c r="H700" s="1050"/>
      <c r="I700" s="1050"/>
      <c r="J700" s="1050"/>
      <c r="K700" s="1050"/>
      <c r="L700" s="1050"/>
      <c r="M700" s="1072"/>
      <c r="N700" s="1050"/>
      <c r="O700" s="1050"/>
      <c r="P700" s="1050"/>
    </row>
    <row r="701" spans="3:16" x14ac:dyDescent="0.3">
      <c r="C701" s="1050"/>
      <c r="D701" s="1050"/>
      <c r="E701" s="1050"/>
      <c r="F701" s="1050"/>
      <c r="G701" s="1050"/>
      <c r="H701" s="1050"/>
      <c r="I701" s="1050"/>
      <c r="J701" s="1050"/>
      <c r="K701" s="1050"/>
      <c r="L701" s="1050"/>
      <c r="M701" s="1072"/>
      <c r="N701" s="1050"/>
      <c r="O701" s="1050"/>
      <c r="P701" s="1050"/>
    </row>
    <row r="702" spans="3:16" x14ac:dyDescent="0.3">
      <c r="C702" s="1050"/>
      <c r="D702" s="1050"/>
      <c r="E702" s="1050"/>
      <c r="F702" s="1050"/>
      <c r="G702" s="1050"/>
      <c r="H702" s="1050"/>
      <c r="I702" s="1050"/>
      <c r="J702" s="1050"/>
      <c r="K702" s="1050"/>
      <c r="L702" s="1050"/>
      <c r="M702" s="1072"/>
      <c r="N702" s="1050"/>
      <c r="O702" s="1050"/>
      <c r="P702" s="1050"/>
    </row>
    <row r="703" spans="3:16" x14ac:dyDescent="0.3">
      <c r="C703" s="1050"/>
      <c r="D703" s="1050"/>
      <c r="E703" s="1050"/>
      <c r="F703" s="1050"/>
      <c r="G703" s="1050"/>
      <c r="H703" s="1050"/>
      <c r="I703" s="1050"/>
      <c r="J703" s="1050"/>
      <c r="K703" s="1050"/>
      <c r="L703" s="1050"/>
      <c r="M703" s="1072"/>
      <c r="N703" s="1050"/>
      <c r="O703" s="1050"/>
      <c r="P703" s="1050"/>
    </row>
    <row r="704" spans="3:16" x14ac:dyDescent="0.3">
      <c r="C704" s="1050"/>
      <c r="D704" s="1050"/>
      <c r="E704" s="1050"/>
      <c r="F704" s="1050"/>
      <c r="G704" s="1050"/>
      <c r="H704" s="1050"/>
      <c r="I704" s="1050"/>
      <c r="J704" s="1050"/>
      <c r="K704" s="1050"/>
      <c r="L704" s="1050"/>
      <c r="M704" s="1072"/>
      <c r="N704" s="1050"/>
      <c r="O704" s="1050"/>
      <c r="P704" s="1050"/>
    </row>
    <row r="705" spans="3:16" x14ac:dyDescent="0.3">
      <c r="C705" s="1050"/>
      <c r="D705" s="1050"/>
      <c r="E705" s="1050"/>
      <c r="F705" s="1050"/>
      <c r="G705" s="1050"/>
      <c r="H705" s="1050"/>
      <c r="I705" s="1050"/>
      <c r="J705" s="1050"/>
      <c r="K705" s="1050"/>
      <c r="L705" s="1050"/>
      <c r="M705" s="1072"/>
      <c r="N705" s="1050"/>
      <c r="O705" s="1050"/>
      <c r="P705" s="1050"/>
    </row>
    <row r="706" spans="3:16" x14ac:dyDescent="0.3">
      <c r="C706" s="1050"/>
      <c r="D706" s="1050"/>
      <c r="E706" s="1050"/>
      <c r="F706" s="1050"/>
      <c r="G706" s="1050"/>
      <c r="H706" s="1050"/>
      <c r="I706" s="1050"/>
      <c r="J706" s="1050"/>
      <c r="K706" s="1050"/>
      <c r="L706" s="1050"/>
      <c r="M706" s="1072"/>
      <c r="N706" s="1050"/>
      <c r="O706" s="1050"/>
      <c r="P706" s="1050"/>
    </row>
    <row r="707" spans="3:16" x14ac:dyDescent="0.3">
      <c r="C707" s="1050"/>
      <c r="D707" s="1050"/>
      <c r="E707" s="1050"/>
      <c r="F707" s="1050"/>
      <c r="G707" s="1050"/>
      <c r="H707" s="1050"/>
      <c r="I707" s="1050"/>
      <c r="J707" s="1050"/>
      <c r="K707" s="1050"/>
      <c r="L707" s="1050"/>
      <c r="M707" s="1072"/>
      <c r="N707" s="1050"/>
      <c r="O707" s="1050"/>
      <c r="P707" s="1050"/>
    </row>
    <row r="708" spans="3:16" x14ac:dyDescent="0.3">
      <c r="C708" s="1050"/>
      <c r="D708" s="1050"/>
      <c r="E708" s="1050"/>
      <c r="F708" s="1050"/>
      <c r="G708" s="1050"/>
      <c r="H708" s="1050"/>
      <c r="I708" s="1050"/>
      <c r="J708" s="1050"/>
      <c r="K708" s="1050"/>
      <c r="L708" s="1050"/>
      <c r="M708" s="1072"/>
      <c r="N708" s="1050"/>
      <c r="O708" s="1050"/>
      <c r="P708" s="1050"/>
    </row>
    <row r="709" spans="3:16" x14ac:dyDescent="0.3">
      <c r="C709" s="1050"/>
      <c r="D709" s="1050"/>
      <c r="E709" s="1050"/>
      <c r="F709" s="1050"/>
      <c r="G709" s="1050"/>
      <c r="H709" s="1050"/>
      <c r="I709" s="1050"/>
      <c r="J709" s="1050"/>
      <c r="K709" s="1050"/>
      <c r="L709" s="1050"/>
      <c r="M709" s="1072"/>
      <c r="N709" s="1050"/>
      <c r="O709" s="1050"/>
      <c r="P709" s="1050"/>
    </row>
    <row r="710" spans="3:16" x14ac:dyDescent="0.3">
      <c r="C710" s="1050"/>
      <c r="D710" s="1050"/>
      <c r="E710" s="1050"/>
      <c r="F710" s="1050"/>
      <c r="G710" s="1050"/>
      <c r="H710" s="1050"/>
      <c r="I710" s="1050"/>
      <c r="J710" s="1050"/>
      <c r="K710" s="1050"/>
      <c r="L710" s="1050"/>
      <c r="M710" s="1072"/>
      <c r="N710" s="1050"/>
      <c r="O710" s="1050"/>
      <c r="P710" s="1050"/>
    </row>
    <row r="711" spans="3:16" x14ac:dyDescent="0.3">
      <c r="C711" s="1050"/>
      <c r="D711" s="1050"/>
      <c r="E711" s="1050"/>
      <c r="F711" s="1050"/>
      <c r="G711" s="1050"/>
      <c r="H711" s="1050"/>
      <c r="I711" s="1050"/>
      <c r="J711" s="1050"/>
      <c r="K711" s="1050"/>
      <c r="L711" s="1050"/>
      <c r="M711" s="1072"/>
      <c r="N711" s="1050"/>
      <c r="O711" s="1050"/>
      <c r="P711" s="1050"/>
    </row>
    <row r="712" spans="3:16" x14ac:dyDescent="0.3">
      <c r="C712" s="1050"/>
      <c r="D712" s="1050"/>
      <c r="E712" s="1050"/>
      <c r="F712" s="1050"/>
      <c r="G712" s="1050"/>
      <c r="H712" s="1050"/>
      <c r="I712" s="1050"/>
      <c r="J712" s="1050"/>
      <c r="K712" s="1050"/>
      <c r="L712" s="1050"/>
      <c r="M712" s="1072"/>
      <c r="N712" s="1050"/>
      <c r="O712" s="1050"/>
      <c r="P712" s="1050"/>
    </row>
    <row r="713" spans="3:16" x14ac:dyDescent="0.3">
      <c r="C713" s="1050"/>
      <c r="D713" s="1050"/>
      <c r="E713" s="1050"/>
      <c r="F713" s="1050"/>
      <c r="G713" s="1050"/>
      <c r="H713" s="1050"/>
      <c r="I713" s="1050"/>
      <c r="J713" s="1050"/>
      <c r="K713" s="1050"/>
      <c r="L713" s="1050"/>
      <c r="M713" s="1072"/>
      <c r="N713" s="1050"/>
      <c r="O713" s="1050"/>
      <c r="P713" s="1050"/>
    </row>
    <row r="714" spans="3:16" x14ac:dyDescent="0.3">
      <c r="C714" s="1050"/>
      <c r="D714" s="1050"/>
      <c r="E714" s="1050"/>
      <c r="F714" s="1050"/>
      <c r="G714" s="1050"/>
      <c r="H714" s="1050"/>
      <c r="I714" s="1050"/>
      <c r="J714" s="1050"/>
      <c r="K714" s="1050"/>
      <c r="L714" s="1050"/>
      <c r="M714" s="1072"/>
      <c r="N714" s="1050"/>
      <c r="O714" s="1050"/>
      <c r="P714" s="1050"/>
    </row>
    <row r="715" spans="3:16" x14ac:dyDescent="0.3">
      <c r="C715" s="1050"/>
      <c r="D715" s="1050"/>
      <c r="E715" s="1050"/>
      <c r="F715" s="1050"/>
      <c r="G715" s="1050"/>
      <c r="H715" s="1050"/>
      <c r="I715" s="1050"/>
      <c r="J715" s="1050"/>
      <c r="K715" s="1050"/>
      <c r="L715" s="1050"/>
      <c r="M715" s="1072"/>
      <c r="N715" s="1050"/>
      <c r="O715" s="1050"/>
      <c r="P715" s="1050"/>
    </row>
    <row r="716" spans="3:16" x14ac:dyDescent="0.3">
      <c r="C716" s="1050"/>
      <c r="D716" s="1050"/>
      <c r="E716" s="1050"/>
      <c r="F716" s="1050"/>
      <c r="G716" s="1050"/>
      <c r="H716" s="1050"/>
      <c r="I716" s="1050"/>
      <c r="J716" s="1050"/>
      <c r="K716" s="1050"/>
      <c r="L716" s="1050"/>
      <c r="M716" s="1072"/>
      <c r="N716" s="1050"/>
      <c r="O716" s="1050"/>
      <c r="P716" s="1050"/>
    </row>
    <row r="717" spans="3:16" x14ac:dyDescent="0.3">
      <c r="C717" s="1050"/>
      <c r="D717" s="1050"/>
      <c r="E717" s="1050"/>
      <c r="F717" s="1050"/>
      <c r="G717" s="1050"/>
      <c r="H717" s="1050"/>
      <c r="I717" s="1050"/>
      <c r="J717" s="1050"/>
      <c r="K717" s="1050"/>
      <c r="L717" s="1050"/>
      <c r="M717" s="1072"/>
      <c r="N717" s="1050"/>
      <c r="O717" s="1050"/>
      <c r="P717" s="1050"/>
    </row>
    <row r="718" spans="3:16" x14ac:dyDescent="0.3">
      <c r="C718" s="1050"/>
      <c r="D718" s="1050"/>
      <c r="E718" s="1050"/>
      <c r="F718" s="1050"/>
      <c r="G718" s="1050"/>
      <c r="H718" s="1050"/>
      <c r="I718" s="1050"/>
      <c r="J718" s="1050"/>
      <c r="K718" s="1050"/>
      <c r="L718" s="1050"/>
      <c r="M718" s="1072"/>
      <c r="N718" s="1050"/>
      <c r="O718" s="1050"/>
      <c r="P718" s="1050"/>
    </row>
    <row r="719" spans="3:16" x14ac:dyDescent="0.3">
      <c r="C719" s="1050"/>
      <c r="D719" s="1050"/>
      <c r="E719" s="1050"/>
      <c r="F719" s="1050"/>
      <c r="G719" s="1050"/>
      <c r="H719" s="1050"/>
      <c r="I719" s="1050"/>
      <c r="J719" s="1050"/>
      <c r="K719" s="1050"/>
      <c r="L719" s="1050"/>
      <c r="M719" s="1072"/>
      <c r="N719" s="1050"/>
      <c r="O719" s="1050"/>
      <c r="P719" s="1050"/>
    </row>
    <row r="720" spans="3:16" x14ac:dyDescent="0.3">
      <c r="C720" s="1050"/>
      <c r="D720" s="1050"/>
      <c r="E720" s="1050"/>
      <c r="F720" s="1050"/>
      <c r="G720" s="1050"/>
      <c r="H720" s="1050"/>
      <c r="I720" s="1050"/>
      <c r="J720" s="1050"/>
      <c r="K720" s="1050"/>
      <c r="L720" s="1050"/>
      <c r="M720" s="1072"/>
      <c r="N720" s="1050"/>
      <c r="O720" s="1050"/>
      <c r="P720" s="1050"/>
    </row>
    <row r="721" spans="3:16" x14ac:dyDescent="0.3">
      <c r="C721" s="1050"/>
      <c r="D721" s="1050"/>
      <c r="E721" s="1050"/>
      <c r="F721" s="1050"/>
      <c r="G721" s="1050"/>
      <c r="H721" s="1050"/>
      <c r="I721" s="1050"/>
      <c r="J721" s="1050"/>
      <c r="K721" s="1050"/>
      <c r="L721" s="1050"/>
      <c r="M721" s="1072"/>
      <c r="N721" s="1050"/>
      <c r="O721" s="1050"/>
      <c r="P721" s="1050"/>
    </row>
    <row r="722" spans="3:16" x14ac:dyDescent="0.3">
      <c r="C722" s="1050"/>
      <c r="D722" s="1050"/>
      <c r="E722" s="1050"/>
      <c r="F722" s="1050"/>
      <c r="G722" s="1050"/>
      <c r="H722" s="1050"/>
      <c r="I722" s="1050"/>
      <c r="J722" s="1050"/>
      <c r="K722" s="1050"/>
      <c r="L722" s="1050"/>
      <c r="M722" s="1072"/>
      <c r="N722" s="1050"/>
      <c r="O722" s="1050"/>
      <c r="P722" s="1050"/>
    </row>
    <row r="723" spans="3:16" x14ac:dyDescent="0.3">
      <c r="C723" s="1050"/>
      <c r="D723" s="1050"/>
      <c r="E723" s="1050"/>
      <c r="F723" s="1050"/>
      <c r="G723" s="1050"/>
      <c r="H723" s="1050"/>
      <c r="I723" s="1050"/>
      <c r="J723" s="1050"/>
      <c r="K723" s="1050"/>
      <c r="L723" s="1050"/>
      <c r="M723" s="1072"/>
      <c r="N723" s="1050"/>
      <c r="O723" s="1050"/>
      <c r="P723" s="1050"/>
    </row>
    <row r="724" spans="3:16" x14ac:dyDescent="0.3">
      <c r="C724" s="1050"/>
      <c r="D724" s="1050"/>
      <c r="E724" s="1050"/>
      <c r="F724" s="1050"/>
      <c r="G724" s="1050"/>
      <c r="H724" s="1050"/>
      <c r="I724" s="1050"/>
      <c r="J724" s="1050"/>
      <c r="K724" s="1050"/>
      <c r="L724" s="1050"/>
      <c r="M724" s="1072"/>
      <c r="N724" s="1050"/>
      <c r="O724" s="1050"/>
      <c r="P724" s="1050"/>
    </row>
    <row r="725" spans="3:16" x14ac:dyDescent="0.3">
      <c r="C725" s="1050"/>
      <c r="D725" s="1050"/>
      <c r="E725" s="1050"/>
      <c r="F725" s="1050"/>
      <c r="G725" s="1050"/>
      <c r="H725" s="1050"/>
      <c r="I725" s="1050"/>
      <c r="J725" s="1050"/>
      <c r="K725" s="1050"/>
      <c r="L725" s="1050"/>
      <c r="M725" s="1072"/>
      <c r="N725" s="1050"/>
      <c r="O725" s="1050"/>
      <c r="P725" s="1050"/>
    </row>
    <row r="726" spans="3:16" x14ac:dyDescent="0.3">
      <c r="C726" s="1050"/>
      <c r="D726" s="1050"/>
      <c r="E726" s="1050"/>
      <c r="F726" s="1050"/>
      <c r="G726" s="1050"/>
      <c r="H726" s="1050"/>
      <c r="I726" s="1050"/>
      <c r="J726" s="1050"/>
      <c r="K726" s="1050"/>
      <c r="L726" s="1050"/>
      <c r="M726" s="1072"/>
      <c r="N726" s="1050"/>
      <c r="O726" s="1050"/>
      <c r="P726" s="1050"/>
    </row>
    <row r="727" spans="3:16" x14ac:dyDescent="0.3">
      <c r="C727" s="1050"/>
      <c r="D727" s="1050"/>
      <c r="E727" s="1050"/>
      <c r="F727" s="1050"/>
      <c r="G727" s="1050"/>
      <c r="H727" s="1050"/>
      <c r="I727" s="1050"/>
      <c r="J727" s="1050"/>
      <c r="K727" s="1050"/>
      <c r="L727" s="1050"/>
      <c r="M727" s="1072"/>
      <c r="N727" s="1050"/>
      <c r="O727" s="1050"/>
      <c r="P727" s="1050"/>
    </row>
    <row r="728" spans="3:16" x14ac:dyDescent="0.3">
      <c r="C728" s="1050"/>
      <c r="D728" s="1050"/>
      <c r="E728" s="1050"/>
      <c r="F728" s="1050"/>
      <c r="G728" s="1050"/>
      <c r="H728" s="1050"/>
      <c r="I728" s="1050"/>
      <c r="J728" s="1050"/>
      <c r="K728" s="1050"/>
      <c r="L728" s="1050"/>
      <c r="M728" s="1072"/>
      <c r="N728" s="1050"/>
      <c r="O728" s="1050"/>
      <c r="P728" s="1050"/>
    </row>
    <row r="729" spans="3:16" x14ac:dyDescent="0.3">
      <c r="C729" s="1050"/>
      <c r="D729" s="1050"/>
      <c r="E729" s="1050"/>
      <c r="F729" s="1050"/>
      <c r="G729" s="1050"/>
      <c r="H729" s="1050"/>
      <c r="I729" s="1050"/>
      <c r="J729" s="1050"/>
      <c r="K729" s="1050"/>
      <c r="L729" s="1050"/>
      <c r="M729" s="1072"/>
      <c r="N729" s="1050"/>
      <c r="O729" s="1050"/>
      <c r="P729" s="1050"/>
    </row>
    <row r="730" spans="3:16" x14ac:dyDescent="0.3">
      <c r="C730" s="1050"/>
      <c r="D730" s="1050"/>
      <c r="E730" s="1050"/>
      <c r="F730" s="1050"/>
      <c r="G730" s="1050"/>
      <c r="H730" s="1050"/>
      <c r="I730" s="1050"/>
      <c r="J730" s="1050"/>
      <c r="K730" s="1050"/>
      <c r="L730" s="1050"/>
      <c r="M730" s="1072"/>
      <c r="N730" s="1050"/>
      <c r="O730" s="1050"/>
      <c r="P730" s="1050"/>
    </row>
    <row r="731" spans="3:16" x14ac:dyDescent="0.3">
      <c r="C731" s="1050"/>
      <c r="D731" s="1050"/>
      <c r="E731" s="1050"/>
      <c r="F731" s="1050"/>
      <c r="G731" s="1050"/>
      <c r="H731" s="1050"/>
      <c r="I731" s="1050"/>
      <c r="J731" s="1050"/>
      <c r="K731" s="1050"/>
      <c r="L731" s="1050"/>
      <c r="M731" s="1072"/>
      <c r="N731" s="1050"/>
      <c r="O731" s="1050"/>
      <c r="P731" s="1050"/>
    </row>
    <row r="732" spans="3:16" x14ac:dyDescent="0.3">
      <c r="C732" s="1050"/>
      <c r="D732" s="1050"/>
      <c r="E732" s="1050"/>
      <c r="F732" s="1050"/>
      <c r="G732" s="1050"/>
      <c r="H732" s="1050"/>
      <c r="I732" s="1050"/>
      <c r="J732" s="1050"/>
      <c r="K732" s="1050"/>
      <c r="L732" s="1050"/>
      <c r="M732" s="1072"/>
      <c r="N732" s="1050"/>
      <c r="O732" s="1050"/>
      <c r="P732" s="1050"/>
    </row>
    <row r="733" spans="3:16" x14ac:dyDescent="0.3">
      <c r="C733" s="1050"/>
      <c r="D733" s="1050"/>
      <c r="E733" s="1050"/>
      <c r="F733" s="1050"/>
      <c r="G733" s="1050"/>
      <c r="H733" s="1050"/>
      <c r="I733" s="1050"/>
      <c r="J733" s="1050"/>
      <c r="K733" s="1050"/>
      <c r="L733" s="1050"/>
      <c r="M733" s="1072"/>
      <c r="N733" s="1050"/>
      <c r="O733" s="1050"/>
      <c r="P733" s="1050"/>
    </row>
    <row r="734" spans="3:16" x14ac:dyDescent="0.3">
      <c r="C734" s="1050"/>
      <c r="D734" s="1050"/>
      <c r="E734" s="1050"/>
      <c r="F734" s="1050"/>
      <c r="G734" s="1050"/>
      <c r="H734" s="1050"/>
      <c r="I734" s="1050"/>
      <c r="J734" s="1050"/>
      <c r="K734" s="1050"/>
      <c r="L734" s="1050"/>
      <c r="M734" s="1072"/>
      <c r="N734" s="1050"/>
      <c r="O734" s="1050"/>
      <c r="P734" s="1050"/>
    </row>
    <row r="735" spans="3:16" x14ac:dyDescent="0.3">
      <c r="C735" s="1050"/>
      <c r="D735" s="1050"/>
      <c r="E735" s="1050"/>
      <c r="F735" s="1050"/>
      <c r="G735" s="1050"/>
      <c r="H735" s="1050"/>
      <c r="I735" s="1050"/>
      <c r="J735" s="1050"/>
      <c r="K735" s="1050"/>
      <c r="L735" s="1050"/>
      <c r="M735" s="1072"/>
      <c r="N735" s="1050"/>
      <c r="O735" s="1050"/>
      <c r="P735" s="1050"/>
    </row>
    <row r="736" spans="3:16" x14ac:dyDescent="0.3">
      <c r="C736" s="1050"/>
      <c r="D736" s="1050"/>
      <c r="E736" s="1050"/>
      <c r="F736" s="1050"/>
      <c r="G736" s="1050"/>
      <c r="H736" s="1050"/>
      <c r="I736" s="1050"/>
      <c r="J736" s="1050"/>
      <c r="K736" s="1050"/>
      <c r="L736" s="1050"/>
      <c r="M736" s="1072"/>
      <c r="N736" s="1050"/>
      <c r="O736" s="1050"/>
      <c r="P736" s="1050"/>
    </row>
    <row r="737" spans="3:16" x14ac:dyDescent="0.3">
      <c r="C737" s="1050"/>
      <c r="D737" s="1050"/>
      <c r="E737" s="1050"/>
      <c r="F737" s="1050"/>
      <c r="G737" s="1050"/>
      <c r="H737" s="1050"/>
      <c r="I737" s="1050"/>
      <c r="J737" s="1050"/>
      <c r="K737" s="1050"/>
      <c r="L737" s="1050"/>
      <c r="M737" s="1072"/>
      <c r="N737" s="1050"/>
      <c r="O737" s="1050"/>
      <c r="P737" s="1050"/>
    </row>
    <row r="738" spans="3:16" x14ac:dyDescent="0.3">
      <c r="C738" s="1050"/>
      <c r="D738" s="1050"/>
      <c r="E738" s="1050"/>
      <c r="F738" s="1050"/>
      <c r="G738" s="1050"/>
      <c r="H738" s="1050"/>
      <c r="I738" s="1050"/>
      <c r="J738" s="1050"/>
      <c r="K738" s="1050"/>
      <c r="L738" s="1050"/>
      <c r="M738" s="1072"/>
      <c r="N738" s="1050"/>
      <c r="O738" s="1050"/>
      <c r="P738" s="1050"/>
    </row>
    <row r="739" spans="3:16" x14ac:dyDescent="0.3">
      <c r="C739" s="1050"/>
      <c r="D739" s="1050"/>
      <c r="E739" s="1050"/>
      <c r="F739" s="1050"/>
      <c r="G739" s="1050"/>
      <c r="H739" s="1050"/>
      <c r="I739" s="1050"/>
      <c r="J739" s="1050"/>
      <c r="K739" s="1050"/>
      <c r="L739" s="1050"/>
      <c r="M739" s="1072"/>
      <c r="N739" s="1050"/>
      <c r="O739" s="1050"/>
      <c r="P739" s="1050"/>
    </row>
    <row r="740" spans="3:16" x14ac:dyDescent="0.3">
      <c r="C740" s="1050"/>
      <c r="D740" s="1050"/>
      <c r="E740" s="1050"/>
      <c r="F740" s="1050"/>
      <c r="G740" s="1050"/>
      <c r="H740" s="1050"/>
      <c r="I740" s="1050"/>
      <c r="J740" s="1050"/>
      <c r="K740" s="1050"/>
      <c r="L740" s="1050"/>
      <c r="M740" s="1072"/>
      <c r="N740" s="1050"/>
      <c r="O740" s="1050"/>
      <c r="P740" s="1050"/>
    </row>
    <row r="741" spans="3:16" x14ac:dyDescent="0.3">
      <c r="C741" s="1050"/>
      <c r="D741" s="1050"/>
      <c r="E741" s="1050"/>
      <c r="F741" s="1050"/>
      <c r="G741" s="1050"/>
      <c r="H741" s="1050"/>
      <c r="I741" s="1050"/>
      <c r="J741" s="1050"/>
      <c r="K741" s="1050"/>
      <c r="L741" s="1050"/>
      <c r="M741" s="1072"/>
      <c r="N741" s="1050"/>
      <c r="O741" s="1050"/>
      <c r="P741" s="1050"/>
    </row>
    <row r="742" spans="3:16" x14ac:dyDescent="0.3">
      <c r="C742" s="1050"/>
      <c r="D742" s="1050"/>
      <c r="E742" s="1050"/>
      <c r="F742" s="1050"/>
      <c r="G742" s="1050"/>
      <c r="H742" s="1050"/>
      <c r="I742" s="1050"/>
      <c r="J742" s="1050"/>
      <c r="K742" s="1050"/>
      <c r="L742" s="1050"/>
      <c r="M742" s="1072"/>
      <c r="N742" s="1050"/>
      <c r="O742" s="1050"/>
      <c r="P742" s="1050"/>
    </row>
    <row r="743" spans="3:16" x14ac:dyDescent="0.3">
      <c r="C743" s="1050"/>
      <c r="D743" s="1050"/>
      <c r="E743" s="1050"/>
      <c r="F743" s="1050"/>
      <c r="G743" s="1050"/>
      <c r="H743" s="1050"/>
      <c r="I743" s="1050"/>
      <c r="J743" s="1050"/>
      <c r="K743" s="1050"/>
      <c r="L743" s="1050"/>
      <c r="M743" s="1072"/>
      <c r="N743" s="1050"/>
      <c r="O743" s="1050"/>
      <c r="P743" s="1050"/>
    </row>
    <row r="744" spans="3:16" x14ac:dyDescent="0.3">
      <c r="C744" s="1050"/>
      <c r="D744" s="1050"/>
      <c r="E744" s="1050"/>
      <c r="F744" s="1050"/>
      <c r="G744" s="1050"/>
      <c r="H744" s="1050"/>
      <c r="I744" s="1050"/>
      <c r="J744" s="1050"/>
      <c r="K744" s="1050"/>
      <c r="L744" s="1050"/>
      <c r="M744" s="1072"/>
      <c r="N744" s="1050"/>
      <c r="O744" s="1050"/>
      <c r="P744" s="1050"/>
    </row>
    <row r="745" spans="3:16" x14ac:dyDescent="0.3">
      <c r="C745" s="1050"/>
      <c r="D745" s="1050"/>
      <c r="E745" s="1050"/>
      <c r="F745" s="1050"/>
      <c r="G745" s="1050"/>
      <c r="H745" s="1050"/>
      <c r="I745" s="1050"/>
      <c r="J745" s="1050"/>
      <c r="K745" s="1050"/>
      <c r="L745" s="1050"/>
      <c r="M745" s="1072"/>
      <c r="N745" s="1050"/>
      <c r="O745" s="1050"/>
      <c r="P745" s="1050"/>
    </row>
    <row r="746" spans="3:16" x14ac:dyDescent="0.3">
      <c r="C746" s="1050"/>
      <c r="D746" s="1050"/>
      <c r="E746" s="1050"/>
      <c r="F746" s="1050"/>
      <c r="G746" s="1050"/>
      <c r="H746" s="1050"/>
      <c r="I746" s="1050"/>
      <c r="J746" s="1050"/>
      <c r="K746" s="1050"/>
      <c r="L746" s="1050"/>
      <c r="M746" s="1072"/>
      <c r="N746" s="1050"/>
      <c r="O746" s="1050"/>
      <c r="P746" s="1050"/>
    </row>
    <row r="747" spans="3:16" x14ac:dyDescent="0.3">
      <c r="C747" s="1050"/>
      <c r="D747" s="1050"/>
      <c r="E747" s="1050"/>
      <c r="F747" s="1050"/>
      <c r="G747" s="1050"/>
      <c r="H747" s="1050"/>
      <c r="I747" s="1050"/>
      <c r="J747" s="1050"/>
      <c r="K747" s="1050"/>
      <c r="L747" s="1050"/>
      <c r="M747" s="1072"/>
      <c r="N747" s="1050"/>
      <c r="O747" s="1050"/>
      <c r="P747" s="1050"/>
    </row>
    <row r="748" spans="3:16" x14ac:dyDescent="0.3">
      <c r="C748" s="1050"/>
      <c r="D748" s="1050"/>
      <c r="E748" s="1050"/>
      <c r="F748" s="1050"/>
      <c r="G748" s="1050"/>
      <c r="H748" s="1050"/>
      <c r="I748" s="1050"/>
      <c r="J748" s="1050"/>
      <c r="K748" s="1050"/>
      <c r="L748" s="1050"/>
      <c r="M748" s="1072"/>
      <c r="N748" s="1050"/>
      <c r="O748" s="1050"/>
      <c r="P748" s="1050"/>
    </row>
    <row r="749" spans="3:16" x14ac:dyDescent="0.3">
      <c r="C749" s="1050"/>
      <c r="D749" s="1050"/>
      <c r="E749" s="1050"/>
      <c r="F749" s="1050"/>
      <c r="G749" s="1050"/>
      <c r="H749" s="1050"/>
      <c r="I749" s="1050"/>
      <c r="J749" s="1050"/>
      <c r="K749" s="1050"/>
      <c r="L749" s="1050"/>
      <c r="M749" s="1072"/>
      <c r="N749" s="1050"/>
      <c r="O749" s="1050"/>
      <c r="P749" s="1050"/>
    </row>
    <row r="750" spans="3:16" x14ac:dyDescent="0.3">
      <c r="C750" s="1050"/>
      <c r="D750" s="1050"/>
      <c r="E750" s="1050"/>
      <c r="F750" s="1050"/>
      <c r="G750" s="1050"/>
      <c r="H750" s="1050"/>
      <c r="I750" s="1050"/>
      <c r="J750" s="1050"/>
      <c r="K750" s="1050"/>
      <c r="L750" s="1050"/>
      <c r="M750" s="1072"/>
      <c r="N750" s="1050"/>
      <c r="O750" s="1050"/>
      <c r="P750" s="1050"/>
    </row>
    <row r="751" spans="3:16" x14ac:dyDescent="0.3">
      <c r="C751" s="1050"/>
      <c r="D751" s="1050"/>
      <c r="E751" s="1050"/>
      <c r="F751" s="1050"/>
      <c r="G751" s="1050"/>
      <c r="H751" s="1050"/>
      <c r="I751" s="1050"/>
      <c r="J751" s="1050"/>
      <c r="K751" s="1050"/>
      <c r="L751" s="1050"/>
      <c r="M751" s="1072"/>
      <c r="N751" s="1050"/>
      <c r="O751" s="1050"/>
      <c r="P751" s="1050"/>
    </row>
    <row r="752" spans="3:16" x14ac:dyDescent="0.3">
      <c r="C752" s="1050"/>
      <c r="D752" s="1050"/>
      <c r="E752" s="1050"/>
      <c r="F752" s="1050"/>
      <c r="G752" s="1050"/>
      <c r="H752" s="1050"/>
      <c r="I752" s="1050"/>
      <c r="J752" s="1050"/>
      <c r="K752" s="1050"/>
      <c r="L752" s="1050"/>
      <c r="M752" s="1072"/>
      <c r="N752" s="1050"/>
      <c r="O752" s="1050"/>
      <c r="P752" s="1050"/>
    </row>
    <row r="753" spans="3:16" x14ac:dyDescent="0.3">
      <c r="C753" s="1050"/>
      <c r="D753" s="1050"/>
      <c r="E753" s="1050"/>
      <c r="F753" s="1050"/>
      <c r="G753" s="1050"/>
      <c r="H753" s="1050"/>
      <c r="I753" s="1050"/>
      <c r="J753" s="1050"/>
      <c r="K753" s="1050"/>
      <c r="L753" s="1050"/>
      <c r="M753" s="1072"/>
      <c r="N753" s="1050"/>
      <c r="O753" s="1050"/>
      <c r="P753" s="1050"/>
    </row>
    <row r="754" spans="3:16" x14ac:dyDescent="0.3">
      <c r="C754" s="1050"/>
      <c r="D754" s="1050"/>
      <c r="E754" s="1050"/>
      <c r="F754" s="1050"/>
      <c r="G754" s="1050"/>
      <c r="H754" s="1050"/>
      <c r="I754" s="1050"/>
      <c r="J754" s="1050"/>
      <c r="K754" s="1050"/>
      <c r="L754" s="1050"/>
      <c r="M754" s="1072"/>
      <c r="N754" s="1050"/>
      <c r="O754" s="1050"/>
      <c r="P754" s="1050"/>
    </row>
    <row r="755" spans="3:16" x14ac:dyDescent="0.3">
      <c r="C755" s="1050"/>
      <c r="D755" s="1050"/>
      <c r="E755" s="1050"/>
      <c r="F755" s="1050"/>
      <c r="G755" s="1050"/>
      <c r="H755" s="1050"/>
      <c r="I755" s="1050"/>
      <c r="J755" s="1050"/>
      <c r="K755" s="1050"/>
      <c r="L755" s="1050"/>
      <c r="M755" s="1072"/>
      <c r="N755" s="1050"/>
      <c r="O755" s="1050"/>
      <c r="P755" s="1050"/>
    </row>
    <row r="756" spans="3:16" x14ac:dyDescent="0.3">
      <c r="C756" s="1050"/>
      <c r="D756" s="1050"/>
      <c r="E756" s="1050"/>
      <c r="F756" s="1050"/>
      <c r="G756" s="1050"/>
      <c r="H756" s="1050"/>
      <c r="I756" s="1050"/>
      <c r="J756" s="1050"/>
      <c r="K756" s="1050"/>
      <c r="L756" s="1050"/>
      <c r="M756" s="1072"/>
      <c r="N756" s="1050"/>
      <c r="O756" s="1050"/>
      <c r="P756" s="1050"/>
    </row>
    <row r="757" spans="3:16" x14ac:dyDescent="0.3">
      <c r="C757" s="1050"/>
      <c r="D757" s="1050"/>
      <c r="E757" s="1050"/>
      <c r="F757" s="1050"/>
      <c r="G757" s="1050"/>
      <c r="H757" s="1050"/>
      <c r="I757" s="1050"/>
      <c r="J757" s="1050"/>
      <c r="K757" s="1050"/>
      <c r="L757" s="1050"/>
      <c r="M757" s="1072"/>
      <c r="N757" s="1050"/>
      <c r="O757" s="1050"/>
      <c r="P757" s="1050"/>
    </row>
    <row r="758" spans="3:16" x14ac:dyDescent="0.3">
      <c r="C758" s="1050"/>
      <c r="D758" s="1050"/>
      <c r="E758" s="1050"/>
      <c r="F758" s="1050"/>
      <c r="G758" s="1050"/>
      <c r="H758" s="1050"/>
      <c r="I758" s="1050"/>
      <c r="J758" s="1050"/>
      <c r="K758" s="1050"/>
      <c r="L758" s="1050"/>
      <c r="M758" s="1072"/>
      <c r="N758" s="1050"/>
      <c r="O758" s="1050"/>
      <c r="P758" s="1050"/>
    </row>
    <row r="759" spans="3:16" x14ac:dyDescent="0.3">
      <c r="C759" s="1050"/>
      <c r="D759" s="1050"/>
      <c r="E759" s="1050"/>
      <c r="F759" s="1050"/>
      <c r="G759" s="1050"/>
      <c r="H759" s="1050"/>
      <c r="I759" s="1050"/>
      <c r="J759" s="1050"/>
      <c r="K759" s="1050"/>
      <c r="L759" s="1050"/>
      <c r="M759" s="1072"/>
      <c r="N759" s="1050"/>
      <c r="O759" s="1050"/>
      <c r="P759" s="1050"/>
    </row>
    <row r="760" spans="3:16" x14ac:dyDescent="0.3">
      <c r="C760" s="1050"/>
      <c r="D760" s="1050"/>
      <c r="E760" s="1050"/>
      <c r="F760" s="1050"/>
      <c r="G760" s="1050"/>
      <c r="H760" s="1050"/>
      <c r="I760" s="1050"/>
      <c r="J760" s="1050"/>
      <c r="K760" s="1050"/>
      <c r="L760" s="1050"/>
      <c r="M760" s="1072"/>
      <c r="N760" s="1050"/>
      <c r="O760" s="1050"/>
      <c r="P760" s="1050"/>
    </row>
    <row r="761" spans="3:16" x14ac:dyDescent="0.3">
      <c r="C761" s="1050"/>
      <c r="D761" s="1050"/>
      <c r="E761" s="1050"/>
      <c r="F761" s="1050"/>
      <c r="G761" s="1050"/>
      <c r="H761" s="1050"/>
      <c r="I761" s="1050"/>
      <c r="J761" s="1050"/>
      <c r="K761" s="1050"/>
      <c r="L761" s="1050"/>
      <c r="M761" s="1072"/>
      <c r="N761" s="1050"/>
      <c r="O761" s="1050"/>
      <c r="P761" s="1050"/>
    </row>
    <row r="762" spans="3:16" x14ac:dyDescent="0.3">
      <c r="C762" s="1050"/>
      <c r="D762" s="1050"/>
      <c r="E762" s="1050"/>
      <c r="F762" s="1050"/>
      <c r="G762" s="1050"/>
      <c r="H762" s="1050"/>
      <c r="I762" s="1050"/>
      <c r="J762" s="1050"/>
      <c r="K762" s="1050"/>
      <c r="L762" s="1050"/>
      <c r="M762" s="1072"/>
      <c r="N762" s="1050"/>
      <c r="O762" s="1050"/>
      <c r="P762" s="1050"/>
    </row>
    <row r="763" spans="3:16" x14ac:dyDescent="0.3">
      <c r="C763" s="1050"/>
      <c r="D763" s="1050"/>
      <c r="E763" s="1050"/>
      <c r="F763" s="1050"/>
      <c r="G763" s="1050"/>
      <c r="H763" s="1050"/>
      <c r="I763" s="1050"/>
      <c r="J763" s="1050"/>
      <c r="K763" s="1050"/>
      <c r="L763" s="1050"/>
      <c r="M763" s="1072"/>
      <c r="N763" s="1050"/>
      <c r="O763" s="1050"/>
      <c r="P763" s="1050"/>
    </row>
    <row r="764" spans="3:16" x14ac:dyDescent="0.3">
      <c r="C764" s="1050"/>
      <c r="D764" s="1050"/>
      <c r="E764" s="1050"/>
      <c r="F764" s="1050"/>
      <c r="G764" s="1050"/>
      <c r="H764" s="1050"/>
      <c r="I764" s="1050"/>
      <c r="J764" s="1050"/>
      <c r="K764" s="1050"/>
      <c r="L764" s="1050"/>
      <c r="M764" s="1072"/>
      <c r="N764" s="1050"/>
      <c r="O764" s="1050"/>
      <c r="P764" s="1050"/>
    </row>
    <row r="765" spans="3:16" x14ac:dyDescent="0.3">
      <c r="C765" s="1050"/>
      <c r="D765" s="1050"/>
      <c r="E765" s="1050"/>
      <c r="F765" s="1050"/>
      <c r="G765" s="1050"/>
      <c r="H765" s="1050"/>
      <c r="I765" s="1050"/>
      <c r="J765" s="1050"/>
      <c r="K765" s="1050"/>
      <c r="L765" s="1050"/>
      <c r="M765" s="1072"/>
      <c r="N765" s="1050"/>
      <c r="O765" s="1050"/>
      <c r="P765" s="1050"/>
    </row>
    <row r="766" spans="3:16" x14ac:dyDescent="0.3">
      <c r="C766" s="1050"/>
      <c r="D766" s="1050"/>
      <c r="E766" s="1050"/>
      <c r="F766" s="1050"/>
      <c r="G766" s="1050"/>
      <c r="H766" s="1050"/>
      <c r="I766" s="1050"/>
      <c r="J766" s="1050"/>
      <c r="K766" s="1050"/>
      <c r="L766" s="1050"/>
      <c r="M766" s="1072"/>
      <c r="N766" s="1050"/>
      <c r="O766" s="1050"/>
      <c r="P766" s="1050"/>
    </row>
    <row r="767" spans="3:16" x14ac:dyDescent="0.3">
      <c r="C767" s="1050"/>
      <c r="D767" s="1050"/>
      <c r="E767" s="1050"/>
      <c r="F767" s="1050"/>
      <c r="G767" s="1050"/>
      <c r="H767" s="1050"/>
      <c r="I767" s="1050"/>
      <c r="J767" s="1050"/>
      <c r="K767" s="1050"/>
      <c r="L767" s="1050"/>
      <c r="M767" s="1072"/>
      <c r="N767" s="1050"/>
      <c r="O767" s="1050"/>
      <c r="P767" s="1050"/>
    </row>
    <row r="768" spans="3:16" x14ac:dyDescent="0.3">
      <c r="C768" s="1050"/>
      <c r="D768" s="1050"/>
      <c r="E768" s="1050"/>
      <c r="F768" s="1050"/>
      <c r="G768" s="1050"/>
      <c r="H768" s="1050"/>
      <c r="I768" s="1050"/>
      <c r="J768" s="1050"/>
      <c r="K768" s="1050"/>
      <c r="L768" s="1050"/>
      <c r="M768" s="1072"/>
      <c r="N768" s="1050"/>
      <c r="O768" s="1050"/>
      <c r="P768" s="1050"/>
    </row>
    <row r="769" spans="3:16" x14ac:dyDescent="0.3">
      <c r="C769" s="1050"/>
      <c r="D769" s="1050"/>
      <c r="E769" s="1050"/>
      <c r="F769" s="1050"/>
      <c r="G769" s="1050"/>
      <c r="H769" s="1050"/>
      <c r="I769" s="1050"/>
      <c r="J769" s="1050"/>
      <c r="K769" s="1050"/>
      <c r="L769" s="1050"/>
      <c r="M769" s="1072"/>
      <c r="N769" s="1050"/>
      <c r="O769" s="1050"/>
      <c r="P769" s="1050"/>
    </row>
    <row r="770" spans="3:16" x14ac:dyDescent="0.3">
      <c r="C770" s="1050"/>
      <c r="D770" s="1050"/>
      <c r="E770" s="1050"/>
      <c r="F770" s="1050"/>
      <c r="G770" s="1050"/>
      <c r="H770" s="1050"/>
      <c r="I770" s="1050"/>
      <c r="J770" s="1050"/>
      <c r="K770" s="1050"/>
      <c r="L770" s="1050"/>
      <c r="M770" s="1072"/>
      <c r="N770" s="1050"/>
      <c r="O770" s="1050"/>
      <c r="P770" s="1050"/>
    </row>
    <row r="771" spans="3:16" x14ac:dyDescent="0.3">
      <c r="C771" s="1050"/>
      <c r="D771" s="1050"/>
      <c r="E771" s="1050"/>
      <c r="F771" s="1050"/>
      <c r="G771" s="1050"/>
      <c r="H771" s="1050"/>
      <c r="I771" s="1050"/>
      <c r="J771" s="1050"/>
      <c r="K771" s="1050"/>
      <c r="L771" s="1050"/>
      <c r="M771" s="1072"/>
      <c r="N771" s="1050"/>
      <c r="O771" s="1050"/>
      <c r="P771" s="1050"/>
    </row>
    <row r="772" spans="3:16" x14ac:dyDescent="0.3">
      <c r="C772" s="1050"/>
      <c r="D772" s="1050"/>
      <c r="E772" s="1050"/>
      <c r="F772" s="1050"/>
      <c r="G772" s="1050"/>
      <c r="H772" s="1050"/>
      <c r="I772" s="1050"/>
      <c r="J772" s="1050"/>
      <c r="K772" s="1050"/>
      <c r="L772" s="1050"/>
      <c r="M772" s="1072"/>
      <c r="N772" s="1050"/>
      <c r="O772" s="1050"/>
      <c r="P772" s="1050"/>
    </row>
    <row r="773" spans="3:16" x14ac:dyDescent="0.3">
      <c r="C773" s="1050"/>
      <c r="D773" s="1050"/>
      <c r="E773" s="1050"/>
      <c r="F773" s="1050"/>
      <c r="G773" s="1050"/>
      <c r="H773" s="1050"/>
      <c r="I773" s="1050"/>
      <c r="J773" s="1050"/>
      <c r="K773" s="1050"/>
      <c r="L773" s="1050"/>
      <c r="M773" s="1072"/>
      <c r="N773" s="1050"/>
      <c r="O773" s="1050"/>
      <c r="P773" s="1050"/>
    </row>
    <row r="774" spans="3:16" x14ac:dyDescent="0.3">
      <c r="C774" s="1050"/>
      <c r="D774" s="1050"/>
      <c r="E774" s="1050"/>
      <c r="F774" s="1050"/>
      <c r="G774" s="1050"/>
      <c r="H774" s="1050"/>
      <c r="I774" s="1050"/>
      <c r="J774" s="1050"/>
      <c r="K774" s="1050"/>
      <c r="L774" s="1050"/>
      <c r="M774" s="1072"/>
      <c r="N774" s="1050"/>
      <c r="O774" s="1050"/>
      <c r="P774" s="1050"/>
    </row>
    <row r="775" spans="3:16" x14ac:dyDescent="0.3">
      <c r="C775" s="1050"/>
      <c r="D775" s="1050"/>
      <c r="E775" s="1050"/>
      <c r="F775" s="1050"/>
      <c r="G775" s="1050"/>
      <c r="H775" s="1050"/>
      <c r="I775" s="1050"/>
      <c r="J775" s="1050"/>
      <c r="K775" s="1050"/>
      <c r="L775" s="1050"/>
      <c r="M775" s="1072"/>
      <c r="N775" s="1050"/>
      <c r="O775" s="1050"/>
      <c r="P775" s="1050"/>
    </row>
    <row r="776" spans="3:16" x14ac:dyDescent="0.3">
      <c r="C776" s="1050"/>
      <c r="D776" s="1050"/>
      <c r="E776" s="1050"/>
      <c r="F776" s="1050"/>
      <c r="G776" s="1050"/>
      <c r="H776" s="1050"/>
      <c r="I776" s="1050"/>
      <c r="J776" s="1050"/>
      <c r="K776" s="1050"/>
      <c r="L776" s="1050"/>
      <c r="M776" s="1072"/>
      <c r="N776" s="1050"/>
      <c r="O776" s="1050"/>
      <c r="P776" s="1050"/>
    </row>
    <row r="777" spans="3:16" x14ac:dyDescent="0.3">
      <c r="C777" s="1050"/>
      <c r="D777" s="1050"/>
      <c r="E777" s="1050"/>
      <c r="F777" s="1050"/>
      <c r="G777" s="1050"/>
      <c r="H777" s="1050"/>
      <c r="I777" s="1050"/>
      <c r="J777" s="1050"/>
      <c r="K777" s="1050"/>
      <c r="L777" s="1050"/>
      <c r="M777" s="1072"/>
      <c r="N777" s="1050"/>
      <c r="O777" s="1050"/>
      <c r="P777" s="1050"/>
    </row>
    <row r="778" spans="3:16" x14ac:dyDescent="0.3">
      <c r="C778" s="1050"/>
      <c r="D778" s="1050"/>
      <c r="E778" s="1050"/>
      <c r="F778" s="1050"/>
      <c r="G778" s="1050"/>
      <c r="H778" s="1050"/>
      <c r="I778" s="1050"/>
      <c r="J778" s="1050"/>
      <c r="K778" s="1050"/>
      <c r="L778" s="1050"/>
      <c r="M778" s="1072"/>
      <c r="N778" s="1050"/>
      <c r="O778" s="1050"/>
      <c r="P778" s="1050"/>
    </row>
    <row r="779" spans="3:16" x14ac:dyDescent="0.3">
      <c r="C779" s="1050"/>
      <c r="D779" s="1050"/>
      <c r="E779" s="1050"/>
      <c r="F779" s="1050"/>
      <c r="G779" s="1050"/>
      <c r="H779" s="1050"/>
      <c r="I779" s="1050"/>
      <c r="J779" s="1050"/>
      <c r="K779" s="1050"/>
      <c r="L779" s="1050"/>
      <c r="M779" s="1072"/>
      <c r="N779" s="1050"/>
      <c r="O779" s="1050"/>
      <c r="P779" s="1050"/>
    </row>
    <row r="780" spans="3:16" x14ac:dyDescent="0.3">
      <c r="C780" s="1050"/>
      <c r="D780" s="1050"/>
      <c r="E780" s="1050"/>
      <c r="F780" s="1050"/>
      <c r="G780" s="1050"/>
      <c r="H780" s="1050"/>
      <c r="I780" s="1050"/>
      <c r="J780" s="1050"/>
      <c r="K780" s="1050"/>
      <c r="L780" s="1050"/>
      <c r="M780" s="1072"/>
      <c r="N780" s="1050"/>
      <c r="O780" s="1050"/>
      <c r="P780" s="1050"/>
    </row>
    <row r="781" spans="3:16" x14ac:dyDescent="0.3">
      <c r="C781" s="1050"/>
      <c r="D781" s="1050"/>
      <c r="E781" s="1050"/>
      <c r="F781" s="1050"/>
      <c r="G781" s="1050"/>
      <c r="H781" s="1050"/>
      <c r="I781" s="1050"/>
      <c r="J781" s="1050"/>
      <c r="K781" s="1050"/>
      <c r="L781" s="1050"/>
      <c r="M781" s="1072"/>
      <c r="N781" s="1050"/>
      <c r="O781" s="1050"/>
      <c r="P781" s="1050"/>
    </row>
    <row r="782" spans="3:16" x14ac:dyDescent="0.3">
      <c r="C782" s="1050"/>
      <c r="D782" s="1050"/>
      <c r="E782" s="1050"/>
      <c r="F782" s="1050"/>
      <c r="G782" s="1050"/>
      <c r="H782" s="1050"/>
      <c r="I782" s="1050"/>
      <c r="J782" s="1050"/>
      <c r="K782" s="1050"/>
      <c r="L782" s="1050"/>
      <c r="M782" s="1072"/>
      <c r="N782" s="1050"/>
      <c r="O782" s="1050"/>
      <c r="P782" s="1050"/>
    </row>
    <row r="783" spans="3:16" x14ac:dyDescent="0.3">
      <c r="C783" s="1050"/>
      <c r="D783" s="1050"/>
      <c r="E783" s="1050"/>
      <c r="F783" s="1050"/>
      <c r="G783" s="1050"/>
      <c r="H783" s="1050"/>
      <c r="I783" s="1050"/>
      <c r="J783" s="1050"/>
      <c r="K783" s="1050"/>
      <c r="L783" s="1050"/>
      <c r="M783" s="1072"/>
      <c r="N783" s="1050"/>
      <c r="O783" s="1050"/>
      <c r="P783" s="1050"/>
    </row>
    <row r="784" spans="3:16" x14ac:dyDescent="0.3">
      <c r="C784" s="1050"/>
      <c r="D784" s="1050"/>
      <c r="E784" s="1050"/>
      <c r="F784" s="1050"/>
      <c r="G784" s="1050"/>
      <c r="H784" s="1050"/>
      <c r="I784" s="1050"/>
      <c r="J784" s="1050"/>
      <c r="K784" s="1050"/>
      <c r="L784" s="1050"/>
      <c r="M784" s="1072"/>
      <c r="N784" s="1050"/>
      <c r="O784" s="1050"/>
      <c r="P784" s="1050"/>
    </row>
    <row r="785" spans="3:16" x14ac:dyDescent="0.3">
      <c r="C785" s="1050"/>
      <c r="D785" s="1050"/>
      <c r="E785" s="1050"/>
      <c r="F785" s="1050"/>
      <c r="G785" s="1050"/>
      <c r="H785" s="1050"/>
      <c r="I785" s="1050"/>
      <c r="J785" s="1050"/>
      <c r="K785" s="1050"/>
      <c r="L785" s="1050"/>
      <c r="M785" s="1072"/>
      <c r="N785" s="1050"/>
      <c r="O785" s="1050"/>
      <c r="P785" s="1050"/>
    </row>
    <row r="786" spans="3:16" x14ac:dyDescent="0.3">
      <c r="C786" s="1050"/>
      <c r="D786" s="1050"/>
      <c r="E786" s="1050"/>
      <c r="F786" s="1050"/>
      <c r="G786" s="1050"/>
      <c r="H786" s="1050"/>
      <c r="I786" s="1050"/>
      <c r="J786" s="1050"/>
      <c r="K786" s="1050"/>
      <c r="L786" s="1050"/>
      <c r="M786" s="1072"/>
      <c r="N786" s="1050"/>
      <c r="O786" s="1050"/>
      <c r="P786" s="1050"/>
    </row>
    <row r="787" spans="3:16" x14ac:dyDescent="0.3">
      <c r="C787" s="1050"/>
      <c r="D787" s="1050"/>
      <c r="E787" s="1050"/>
      <c r="F787" s="1050"/>
      <c r="G787" s="1050"/>
      <c r="H787" s="1050"/>
      <c r="I787" s="1050"/>
      <c r="J787" s="1050"/>
      <c r="K787" s="1050"/>
      <c r="L787" s="1050"/>
      <c r="M787" s="1072"/>
      <c r="N787" s="1050"/>
      <c r="O787" s="1050"/>
      <c r="P787" s="1050"/>
    </row>
    <row r="788" spans="3:16" x14ac:dyDescent="0.3">
      <c r="C788" s="1050"/>
      <c r="D788" s="1050"/>
      <c r="E788" s="1050"/>
      <c r="F788" s="1050"/>
      <c r="G788" s="1050"/>
      <c r="H788" s="1050"/>
      <c r="I788" s="1050"/>
      <c r="J788" s="1050"/>
      <c r="K788" s="1050"/>
      <c r="L788" s="1050"/>
      <c r="M788" s="1072"/>
      <c r="N788" s="1050"/>
      <c r="O788" s="1050"/>
      <c r="P788" s="1050"/>
    </row>
    <row r="789" spans="3:16" x14ac:dyDescent="0.3">
      <c r="C789" s="1050"/>
      <c r="D789" s="1050"/>
      <c r="E789" s="1050"/>
      <c r="F789" s="1050"/>
      <c r="G789" s="1050"/>
      <c r="H789" s="1050"/>
      <c r="I789" s="1050"/>
      <c r="J789" s="1050"/>
      <c r="K789" s="1050"/>
      <c r="L789" s="1050"/>
      <c r="M789" s="1072"/>
      <c r="N789" s="1050"/>
      <c r="O789" s="1050"/>
      <c r="P789" s="1050"/>
    </row>
    <row r="790" spans="3:16" x14ac:dyDescent="0.3">
      <c r="C790" s="1050"/>
      <c r="D790" s="1050"/>
      <c r="E790" s="1050"/>
      <c r="F790" s="1050"/>
      <c r="G790" s="1050"/>
      <c r="H790" s="1050"/>
      <c r="I790" s="1050"/>
      <c r="J790" s="1050"/>
      <c r="K790" s="1050"/>
      <c r="L790" s="1050"/>
      <c r="M790" s="1072"/>
      <c r="N790" s="1050"/>
      <c r="O790" s="1050"/>
      <c r="P790" s="1050"/>
    </row>
    <row r="791" spans="3:16" x14ac:dyDescent="0.3">
      <c r="C791" s="1050"/>
      <c r="D791" s="1050"/>
      <c r="E791" s="1050"/>
      <c r="F791" s="1050"/>
      <c r="G791" s="1050"/>
      <c r="H791" s="1050"/>
      <c r="I791" s="1050"/>
      <c r="J791" s="1050"/>
      <c r="K791" s="1050"/>
      <c r="L791" s="1050"/>
      <c r="M791" s="1072"/>
      <c r="N791" s="1050"/>
      <c r="O791" s="1050"/>
      <c r="P791" s="1050"/>
    </row>
    <row r="792" spans="3:16" x14ac:dyDescent="0.3">
      <c r="C792" s="1050"/>
      <c r="D792" s="1050"/>
      <c r="E792" s="1050"/>
      <c r="F792" s="1050"/>
      <c r="G792" s="1050"/>
      <c r="H792" s="1050"/>
      <c r="I792" s="1050"/>
      <c r="J792" s="1050"/>
      <c r="K792" s="1050"/>
      <c r="L792" s="1050"/>
      <c r="M792" s="1072"/>
      <c r="N792" s="1050"/>
      <c r="O792" s="1050"/>
      <c r="P792" s="1050"/>
    </row>
    <row r="793" spans="3:16" x14ac:dyDescent="0.3">
      <c r="C793" s="1050"/>
      <c r="D793" s="1050"/>
      <c r="E793" s="1050"/>
      <c r="F793" s="1050"/>
      <c r="G793" s="1050"/>
      <c r="H793" s="1050"/>
      <c r="I793" s="1050"/>
      <c r="J793" s="1050"/>
      <c r="K793" s="1050"/>
      <c r="L793" s="1050"/>
      <c r="M793" s="1072"/>
      <c r="N793" s="1050"/>
      <c r="O793" s="1050"/>
      <c r="P793" s="1050"/>
    </row>
    <row r="794" spans="3:16" x14ac:dyDescent="0.3">
      <c r="C794" s="1050"/>
      <c r="D794" s="1050"/>
      <c r="E794" s="1050"/>
      <c r="F794" s="1050"/>
      <c r="G794" s="1050"/>
      <c r="H794" s="1050"/>
      <c r="I794" s="1050"/>
      <c r="J794" s="1050"/>
      <c r="K794" s="1050"/>
      <c r="L794" s="1050"/>
      <c r="M794" s="1072"/>
      <c r="N794" s="1050"/>
      <c r="O794" s="1050"/>
      <c r="P794" s="1050"/>
    </row>
    <row r="795" spans="3:16" x14ac:dyDescent="0.3">
      <c r="C795" s="1050"/>
      <c r="D795" s="1050"/>
      <c r="E795" s="1050"/>
      <c r="F795" s="1050"/>
      <c r="G795" s="1050"/>
      <c r="H795" s="1050"/>
      <c r="I795" s="1050"/>
      <c r="J795" s="1050"/>
      <c r="K795" s="1050"/>
      <c r="L795" s="1050"/>
      <c r="M795" s="1072"/>
      <c r="N795" s="1050"/>
      <c r="O795" s="1050"/>
      <c r="P795" s="1050"/>
    </row>
    <row r="796" spans="3:16" x14ac:dyDescent="0.3">
      <c r="C796" s="1050"/>
      <c r="D796" s="1050"/>
      <c r="E796" s="1050"/>
      <c r="F796" s="1050"/>
      <c r="G796" s="1050"/>
      <c r="H796" s="1050"/>
      <c r="I796" s="1050"/>
      <c r="J796" s="1050"/>
      <c r="K796" s="1050"/>
      <c r="L796" s="1050"/>
      <c r="M796" s="1072"/>
      <c r="N796" s="1050"/>
      <c r="O796" s="1050"/>
      <c r="P796" s="1050"/>
    </row>
    <row r="797" spans="3:16" x14ac:dyDescent="0.3">
      <c r="C797" s="1050"/>
      <c r="D797" s="1050"/>
      <c r="E797" s="1050"/>
      <c r="F797" s="1050"/>
      <c r="G797" s="1050"/>
      <c r="H797" s="1050"/>
      <c r="I797" s="1050"/>
      <c r="J797" s="1050"/>
      <c r="K797" s="1050"/>
      <c r="L797" s="1050"/>
      <c r="M797" s="1072"/>
      <c r="N797" s="1050"/>
      <c r="O797" s="1050"/>
      <c r="P797" s="1050"/>
    </row>
    <row r="798" spans="3:16" x14ac:dyDescent="0.3">
      <c r="C798" s="1050"/>
      <c r="D798" s="1050"/>
      <c r="E798" s="1050"/>
      <c r="F798" s="1050"/>
      <c r="G798" s="1050"/>
      <c r="H798" s="1050"/>
      <c r="I798" s="1050"/>
      <c r="J798" s="1050"/>
      <c r="K798" s="1050"/>
      <c r="L798" s="1050"/>
      <c r="M798" s="1072"/>
      <c r="N798" s="1050"/>
      <c r="O798" s="1050"/>
      <c r="P798" s="1050"/>
    </row>
    <row r="799" spans="3:16" x14ac:dyDescent="0.3">
      <c r="C799" s="1050"/>
      <c r="D799" s="1050"/>
      <c r="E799" s="1050"/>
      <c r="F799" s="1050"/>
      <c r="G799" s="1050"/>
      <c r="H799" s="1050"/>
      <c r="I799" s="1050"/>
      <c r="J799" s="1050"/>
      <c r="K799" s="1050"/>
      <c r="L799" s="1050"/>
      <c r="M799" s="1072"/>
      <c r="N799" s="1050"/>
      <c r="O799" s="1050"/>
      <c r="P799" s="1050"/>
    </row>
    <row r="800" spans="3:16" x14ac:dyDescent="0.3">
      <c r="C800" s="1050"/>
      <c r="D800" s="1050"/>
      <c r="E800" s="1050"/>
      <c r="F800" s="1050"/>
      <c r="G800" s="1050"/>
      <c r="H800" s="1050"/>
      <c r="I800" s="1050"/>
      <c r="J800" s="1050"/>
      <c r="K800" s="1050"/>
      <c r="L800" s="1050"/>
      <c r="M800" s="1072"/>
      <c r="N800" s="1050"/>
      <c r="O800" s="1050"/>
      <c r="P800" s="1050"/>
    </row>
    <row r="801" spans="3:16" x14ac:dyDescent="0.3">
      <c r="C801" s="1050"/>
      <c r="D801" s="1050"/>
      <c r="E801" s="1050"/>
      <c r="F801" s="1050"/>
      <c r="G801" s="1050"/>
      <c r="H801" s="1050"/>
      <c r="I801" s="1050"/>
      <c r="J801" s="1050"/>
      <c r="K801" s="1050"/>
      <c r="L801" s="1050"/>
      <c r="M801" s="1072"/>
      <c r="N801" s="1050"/>
      <c r="O801" s="1050"/>
      <c r="P801" s="1050"/>
    </row>
    <row r="802" spans="3:16" x14ac:dyDescent="0.3">
      <c r="C802" s="1050"/>
      <c r="D802" s="1050"/>
      <c r="E802" s="1050"/>
      <c r="F802" s="1050"/>
      <c r="G802" s="1050"/>
      <c r="H802" s="1050"/>
      <c r="I802" s="1050"/>
      <c r="J802" s="1050"/>
      <c r="K802" s="1050"/>
      <c r="L802" s="1050"/>
      <c r="M802" s="1072"/>
      <c r="N802" s="1050"/>
      <c r="O802" s="1050"/>
      <c r="P802" s="1050"/>
    </row>
    <row r="803" spans="3:16" x14ac:dyDescent="0.3">
      <c r="C803" s="1050"/>
      <c r="D803" s="1050"/>
      <c r="E803" s="1050"/>
      <c r="F803" s="1050"/>
      <c r="G803" s="1050"/>
      <c r="H803" s="1050"/>
      <c r="I803" s="1050"/>
      <c r="J803" s="1050"/>
      <c r="K803" s="1050"/>
      <c r="L803" s="1050"/>
      <c r="M803" s="1072"/>
      <c r="N803" s="1050"/>
      <c r="O803" s="1050"/>
      <c r="P803" s="1050"/>
    </row>
    <row r="804" spans="3:16" x14ac:dyDescent="0.3">
      <c r="C804" s="1050"/>
      <c r="D804" s="1050"/>
      <c r="E804" s="1050"/>
      <c r="F804" s="1050"/>
      <c r="G804" s="1050"/>
      <c r="H804" s="1050"/>
      <c r="I804" s="1050"/>
      <c r="J804" s="1050"/>
      <c r="K804" s="1050"/>
      <c r="L804" s="1050"/>
      <c r="M804" s="1072"/>
      <c r="N804" s="1050"/>
      <c r="O804" s="1050"/>
      <c r="P804" s="1050"/>
    </row>
    <row r="805" spans="3:16" x14ac:dyDescent="0.3">
      <c r="C805" s="1050"/>
      <c r="D805" s="1050"/>
      <c r="E805" s="1050"/>
      <c r="F805" s="1050"/>
      <c r="G805" s="1050"/>
      <c r="H805" s="1050"/>
      <c r="I805" s="1050"/>
      <c r="J805" s="1050"/>
      <c r="K805" s="1050"/>
      <c r="L805" s="1050"/>
      <c r="M805" s="1072"/>
      <c r="N805" s="1050"/>
      <c r="O805" s="1050"/>
      <c r="P805" s="1050"/>
    </row>
    <row r="806" spans="3:16" x14ac:dyDescent="0.3">
      <c r="C806" s="1050"/>
      <c r="D806" s="1050"/>
      <c r="E806" s="1050"/>
      <c r="F806" s="1050"/>
      <c r="G806" s="1050"/>
      <c r="H806" s="1050"/>
      <c r="I806" s="1050"/>
      <c r="J806" s="1050"/>
      <c r="K806" s="1050"/>
      <c r="L806" s="1050"/>
      <c r="M806" s="1072"/>
      <c r="N806" s="1050"/>
      <c r="O806" s="1050"/>
      <c r="P806" s="1050"/>
    </row>
    <row r="807" spans="3:16" x14ac:dyDescent="0.3">
      <c r="C807" s="1050"/>
      <c r="D807" s="1050"/>
      <c r="E807" s="1050"/>
      <c r="F807" s="1050"/>
      <c r="G807" s="1050"/>
      <c r="H807" s="1050"/>
      <c r="I807" s="1050"/>
      <c r="J807" s="1050"/>
      <c r="K807" s="1050"/>
      <c r="L807" s="1050"/>
      <c r="M807" s="1072"/>
      <c r="N807" s="1050"/>
      <c r="O807" s="1050"/>
      <c r="P807" s="1050"/>
    </row>
    <row r="808" spans="3:16" x14ac:dyDescent="0.3">
      <c r="C808" s="1050"/>
      <c r="D808" s="1050"/>
      <c r="E808" s="1050"/>
      <c r="F808" s="1050"/>
      <c r="G808" s="1050"/>
      <c r="H808" s="1050"/>
      <c r="I808" s="1050"/>
      <c r="J808" s="1050"/>
      <c r="K808" s="1050"/>
      <c r="L808" s="1050"/>
      <c r="M808" s="1072"/>
      <c r="N808" s="1050"/>
      <c r="O808" s="1050"/>
      <c r="P808" s="1050"/>
    </row>
    <row r="809" spans="3:16" x14ac:dyDescent="0.3">
      <c r="C809" s="1050"/>
      <c r="D809" s="1050"/>
      <c r="E809" s="1050"/>
      <c r="F809" s="1050"/>
      <c r="G809" s="1050"/>
      <c r="H809" s="1050"/>
      <c r="I809" s="1050"/>
      <c r="J809" s="1050"/>
      <c r="K809" s="1050"/>
      <c r="L809" s="1050"/>
      <c r="M809" s="1072"/>
      <c r="N809" s="1050"/>
      <c r="O809" s="1050"/>
      <c r="P809" s="1050"/>
    </row>
    <row r="810" spans="3:16" x14ac:dyDescent="0.3">
      <c r="C810" s="1050"/>
      <c r="D810" s="1050"/>
      <c r="E810" s="1050"/>
      <c r="F810" s="1050"/>
      <c r="G810" s="1050"/>
      <c r="H810" s="1050"/>
      <c r="I810" s="1050"/>
      <c r="J810" s="1050"/>
      <c r="K810" s="1050"/>
      <c r="L810" s="1050"/>
      <c r="M810" s="1072"/>
      <c r="N810" s="1050"/>
      <c r="O810" s="1050"/>
      <c r="P810" s="1050"/>
    </row>
    <row r="811" spans="3:16" x14ac:dyDescent="0.3">
      <c r="C811" s="1050"/>
      <c r="D811" s="1050"/>
      <c r="E811" s="1050"/>
      <c r="F811" s="1050"/>
      <c r="G811" s="1050"/>
      <c r="H811" s="1050"/>
      <c r="I811" s="1050"/>
      <c r="J811" s="1050"/>
      <c r="K811" s="1050"/>
      <c r="L811" s="1050"/>
      <c r="M811" s="1072"/>
      <c r="N811" s="1050"/>
      <c r="O811" s="1050"/>
      <c r="P811" s="1050"/>
    </row>
    <row r="812" spans="3:16" x14ac:dyDescent="0.3">
      <c r="C812" s="1050"/>
      <c r="D812" s="1050"/>
      <c r="E812" s="1050"/>
      <c r="F812" s="1050"/>
      <c r="G812" s="1050"/>
      <c r="H812" s="1050"/>
      <c r="I812" s="1050"/>
      <c r="J812" s="1050"/>
      <c r="K812" s="1050"/>
      <c r="L812" s="1050"/>
      <c r="M812" s="1072"/>
      <c r="N812" s="1050"/>
      <c r="O812" s="1050"/>
      <c r="P812" s="1050"/>
    </row>
    <row r="813" spans="3:16" x14ac:dyDescent="0.3">
      <c r="C813" s="1050"/>
      <c r="D813" s="1050"/>
      <c r="E813" s="1050"/>
      <c r="F813" s="1050"/>
      <c r="G813" s="1050"/>
      <c r="H813" s="1050"/>
      <c r="I813" s="1050"/>
      <c r="J813" s="1050"/>
      <c r="K813" s="1050"/>
      <c r="L813" s="1050"/>
      <c r="M813" s="1072"/>
      <c r="N813" s="1050"/>
      <c r="O813" s="1050"/>
      <c r="P813" s="1050"/>
    </row>
    <row r="814" spans="3:16" x14ac:dyDescent="0.3">
      <c r="C814" s="1050"/>
      <c r="D814" s="1050"/>
      <c r="E814" s="1050"/>
      <c r="F814" s="1050"/>
      <c r="G814" s="1050"/>
      <c r="H814" s="1050"/>
      <c r="I814" s="1050"/>
      <c r="J814" s="1050"/>
      <c r="K814" s="1050"/>
      <c r="L814" s="1050"/>
      <c r="M814" s="1072"/>
      <c r="N814" s="1050"/>
      <c r="O814" s="1050"/>
      <c r="P814" s="1050"/>
    </row>
    <row r="815" spans="3:16" x14ac:dyDescent="0.3">
      <c r="C815" s="1050"/>
      <c r="D815" s="1050"/>
      <c r="E815" s="1050"/>
      <c r="F815" s="1050"/>
      <c r="G815" s="1050"/>
      <c r="H815" s="1050"/>
      <c r="I815" s="1050"/>
      <c r="J815" s="1050"/>
      <c r="K815" s="1050"/>
      <c r="L815" s="1050"/>
      <c r="M815" s="1072"/>
      <c r="N815" s="1050"/>
      <c r="O815" s="1050"/>
      <c r="P815" s="1050"/>
    </row>
    <row r="816" spans="3:16" x14ac:dyDescent="0.3">
      <c r="C816" s="1050"/>
      <c r="D816" s="1050"/>
      <c r="E816" s="1050"/>
      <c r="F816" s="1050"/>
      <c r="G816" s="1050"/>
      <c r="H816" s="1050"/>
      <c r="I816" s="1050"/>
      <c r="J816" s="1050"/>
      <c r="K816" s="1050"/>
      <c r="L816" s="1050"/>
      <c r="M816" s="1072"/>
      <c r="N816" s="1050"/>
      <c r="O816" s="1050"/>
      <c r="P816" s="1050"/>
    </row>
    <row r="817" spans="3:16" x14ac:dyDescent="0.3">
      <c r="C817" s="1050"/>
      <c r="D817" s="1050"/>
      <c r="E817" s="1050"/>
      <c r="F817" s="1050"/>
      <c r="G817" s="1050"/>
      <c r="H817" s="1050"/>
      <c r="I817" s="1050"/>
      <c r="J817" s="1050"/>
      <c r="K817" s="1050"/>
      <c r="L817" s="1050"/>
      <c r="M817" s="1072"/>
      <c r="N817" s="1050"/>
      <c r="O817" s="1050"/>
      <c r="P817" s="1050"/>
    </row>
    <row r="818" spans="3:16" x14ac:dyDescent="0.3">
      <c r="C818" s="1050"/>
      <c r="D818" s="1050"/>
      <c r="E818" s="1050"/>
      <c r="F818" s="1050"/>
      <c r="G818" s="1050"/>
      <c r="H818" s="1050"/>
      <c r="I818" s="1050"/>
      <c r="J818" s="1050"/>
      <c r="K818" s="1050"/>
      <c r="L818" s="1050"/>
      <c r="M818" s="1072"/>
      <c r="N818" s="1050"/>
      <c r="O818" s="1050"/>
      <c r="P818" s="1050"/>
    </row>
    <row r="819" spans="3:16" x14ac:dyDescent="0.3">
      <c r="C819" s="1050"/>
      <c r="D819" s="1050"/>
      <c r="E819" s="1050"/>
      <c r="F819" s="1050"/>
      <c r="G819" s="1050"/>
      <c r="H819" s="1050"/>
      <c r="I819" s="1050"/>
      <c r="J819" s="1050"/>
      <c r="K819" s="1050"/>
      <c r="L819" s="1050"/>
      <c r="M819" s="1072"/>
      <c r="N819" s="1050"/>
      <c r="O819" s="1050"/>
      <c r="P819" s="1050"/>
    </row>
    <row r="820" spans="3:16" x14ac:dyDescent="0.3">
      <c r="C820" s="1050"/>
      <c r="D820" s="1050"/>
      <c r="E820" s="1050"/>
      <c r="F820" s="1050"/>
      <c r="G820" s="1050"/>
      <c r="H820" s="1050"/>
      <c r="I820" s="1050"/>
      <c r="J820" s="1050"/>
      <c r="K820" s="1050"/>
      <c r="L820" s="1050"/>
      <c r="M820" s="1072"/>
      <c r="N820" s="1050"/>
      <c r="O820" s="1050"/>
      <c r="P820" s="1050"/>
    </row>
    <row r="821" spans="3:16" x14ac:dyDescent="0.3">
      <c r="C821" s="1050"/>
      <c r="D821" s="1050"/>
      <c r="E821" s="1050"/>
      <c r="F821" s="1050"/>
      <c r="G821" s="1050"/>
      <c r="H821" s="1050"/>
      <c r="I821" s="1050"/>
      <c r="J821" s="1050"/>
      <c r="K821" s="1050"/>
      <c r="L821" s="1050"/>
      <c r="M821" s="1072"/>
      <c r="N821" s="1050"/>
      <c r="O821" s="1050"/>
      <c r="P821" s="1050"/>
    </row>
    <row r="822" spans="3:16" x14ac:dyDescent="0.3">
      <c r="C822" s="1050"/>
      <c r="D822" s="1050"/>
      <c r="E822" s="1050"/>
      <c r="F822" s="1050"/>
      <c r="G822" s="1050"/>
      <c r="H822" s="1050"/>
      <c r="I822" s="1050"/>
      <c r="J822" s="1050"/>
      <c r="K822" s="1050"/>
      <c r="L822" s="1050"/>
      <c r="M822" s="1072"/>
      <c r="N822" s="1050"/>
      <c r="O822" s="1050"/>
      <c r="P822" s="1050"/>
    </row>
    <row r="823" spans="3:16" x14ac:dyDescent="0.3">
      <c r="C823" s="1050"/>
      <c r="D823" s="1050"/>
      <c r="E823" s="1050"/>
      <c r="F823" s="1050"/>
      <c r="G823" s="1050"/>
      <c r="H823" s="1050"/>
      <c r="I823" s="1050"/>
      <c r="J823" s="1050"/>
      <c r="K823" s="1050"/>
      <c r="L823" s="1050"/>
      <c r="M823" s="1072"/>
      <c r="N823" s="1050"/>
      <c r="O823" s="1050"/>
      <c r="P823" s="1050"/>
    </row>
    <row r="824" spans="3:16" x14ac:dyDescent="0.3">
      <c r="C824" s="1050"/>
      <c r="D824" s="1050"/>
      <c r="E824" s="1050"/>
      <c r="F824" s="1050"/>
      <c r="G824" s="1050"/>
      <c r="H824" s="1050"/>
      <c r="I824" s="1050"/>
      <c r="J824" s="1050"/>
      <c r="K824" s="1050"/>
      <c r="L824" s="1050"/>
      <c r="M824" s="1072"/>
      <c r="N824" s="1050"/>
      <c r="O824" s="1050"/>
      <c r="P824" s="1050"/>
    </row>
    <row r="825" spans="3:16" x14ac:dyDescent="0.3">
      <c r="C825" s="1050"/>
      <c r="D825" s="1050"/>
      <c r="E825" s="1050"/>
      <c r="F825" s="1050"/>
      <c r="G825" s="1050"/>
      <c r="H825" s="1050"/>
      <c r="I825" s="1050"/>
      <c r="J825" s="1050"/>
      <c r="K825" s="1050"/>
      <c r="L825" s="1050"/>
      <c r="M825" s="1072"/>
      <c r="N825" s="1050"/>
      <c r="O825" s="1050"/>
      <c r="P825" s="1050"/>
    </row>
    <row r="826" spans="3:16" x14ac:dyDescent="0.3">
      <c r="C826" s="1050"/>
      <c r="D826" s="1050"/>
      <c r="E826" s="1050"/>
      <c r="F826" s="1050"/>
      <c r="G826" s="1050"/>
      <c r="H826" s="1050"/>
      <c r="I826" s="1050"/>
      <c r="J826" s="1050"/>
      <c r="K826" s="1050"/>
      <c r="L826" s="1050"/>
      <c r="M826" s="1072"/>
      <c r="N826" s="1050"/>
      <c r="O826" s="1050"/>
      <c r="P826" s="1050"/>
    </row>
    <row r="827" spans="3:16" x14ac:dyDescent="0.3">
      <c r="C827" s="1050"/>
      <c r="D827" s="1050"/>
      <c r="E827" s="1050"/>
      <c r="F827" s="1050"/>
      <c r="G827" s="1050"/>
      <c r="H827" s="1050"/>
      <c r="I827" s="1050"/>
      <c r="J827" s="1050"/>
      <c r="K827" s="1050"/>
      <c r="L827" s="1050"/>
      <c r="M827" s="1072"/>
      <c r="N827" s="1050"/>
      <c r="O827" s="1050"/>
      <c r="P827" s="1050"/>
    </row>
    <row r="828" spans="3:16" x14ac:dyDescent="0.3">
      <c r="C828" s="1050"/>
      <c r="D828" s="1050"/>
      <c r="E828" s="1050"/>
      <c r="F828" s="1050"/>
      <c r="G828" s="1050"/>
      <c r="H828" s="1050"/>
      <c r="I828" s="1050"/>
      <c r="J828" s="1050"/>
      <c r="K828" s="1050"/>
      <c r="L828" s="1050"/>
      <c r="M828" s="1072"/>
      <c r="N828" s="1050"/>
      <c r="O828" s="1050"/>
      <c r="P828" s="1050"/>
    </row>
    <row r="829" spans="3:16" x14ac:dyDescent="0.3">
      <c r="C829" s="1050"/>
      <c r="D829" s="1050"/>
      <c r="E829" s="1050"/>
      <c r="F829" s="1050"/>
      <c r="G829" s="1050"/>
      <c r="H829" s="1050"/>
      <c r="I829" s="1050"/>
      <c r="J829" s="1050"/>
      <c r="K829" s="1050"/>
      <c r="L829" s="1050"/>
      <c r="M829" s="1072"/>
      <c r="N829" s="1050"/>
      <c r="O829" s="1050"/>
      <c r="P829" s="1050"/>
    </row>
    <row r="830" spans="3:16" x14ac:dyDescent="0.3">
      <c r="C830" s="1050"/>
      <c r="D830" s="1050"/>
      <c r="E830" s="1050"/>
      <c r="F830" s="1050"/>
      <c r="G830" s="1050"/>
      <c r="H830" s="1050"/>
      <c r="I830" s="1050"/>
      <c r="J830" s="1050"/>
      <c r="K830" s="1050"/>
      <c r="L830" s="1050"/>
      <c r="M830" s="1072"/>
      <c r="N830" s="1050"/>
      <c r="O830" s="1050"/>
      <c r="P830" s="1050"/>
    </row>
    <row r="831" spans="3:16" x14ac:dyDescent="0.3">
      <c r="C831" s="1050"/>
      <c r="D831" s="1050"/>
      <c r="E831" s="1050"/>
      <c r="F831" s="1050"/>
      <c r="G831" s="1050"/>
      <c r="H831" s="1050"/>
      <c r="I831" s="1050"/>
      <c r="J831" s="1050"/>
      <c r="K831" s="1050"/>
      <c r="L831" s="1050"/>
      <c r="M831" s="1072"/>
      <c r="N831" s="1050"/>
      <c r="O831" s="1050"/>
      <c r="P831" s="1050"/>
    </row>
    <row r="832" spans="3:16" x14ac:dyDescent="0.3">
      <c r="C832" s="1050"/>
      <c r="D832" s="1050"/>
      <c r="E832" s="1050"/>
      <c r="F832" s="1050"/>
      <c r="G832" s="1050"/>
      <c r="H832" s="1050"/>
      <c r="I832" s="1050"/>
      <c r="J832" s="1050"/>
      <c r="K832" s="1050"/>
      <c r="L832" s="1050"/>
      <c r="M832" s="1072"/>
      <c r="N832" s="1050"/>
      <c r="O832" s="1050"/>
      <c r="P832" s="1050"/>
    </row>
    <row r="833" spans="3:16" x14ac:dyDescent="0.3">
      <c r="C833" s="1050"/>
      <c r="D833" s="1050"/>
      <c r="E833" s="1050"/>
      <c r="F833" s="1050"/>
      <c r="G833" s="1050"/>
      <c r="H833" s="1050"/>
      <c r="I833" s="1050"/>
      <c r="J833" s="1050"/>
      <c r="K833" s="1050"/>
      <c r="L833" s="1050"/>
      <c r="M833" s="1072"/>
      <c r="N833" s="1050"/>
      <c r="O833" s="1050"/>
      <c r="P833" s="1050"/>
    </row>
    <row r="834" spans="3:16" x14ac:dyDescent="0.3">
      <c r="C834" s="1050"/>
      <c r="D834" s="1050"/>
      <c r="E834" s="1050"/>
      <c r="F834" s="1050"/>
      <c r="G834" s="1050"/>
      <c r="H834" s="1050"/>
      <c r="I834" s="1050"/>
      <c r="J834" s="1050"/>
      <c r="K834" s="1050"/>
      <c r="L834" s="1050"/>
      <c r="M834" s="1072"/>
      <c r="N834" s="1050"/>
      <c r="O834" s="1050"/>
      <c r="P834" s="1050"/>
    </row>
    <row r="835" spans="3:16" x14ac:dyDescent="0.3">
      <c r="C835" s="1050"/>
      <c r="D835" s="1050"/>
      <c r="E835" s="1050"/>
      <c r="F835" s="1050"/>
      <c r="G835" s="1050"/>
      <c r="H835" s="1050"/>
      <c r="I835" s="1050"/>
      <c r="J835" s="1050"/>
      <c r="K835" s="1050"/>
      <c r="L835" s="1050"/>
      <c r="M835" s="1072"/>
      <c r="N835" s="1050"/>
      <c r="O835" s="1050"/>
      <c r="P835" s="1050"/>
    </row>
    <row r="836" spans="3:16" x14ac:dyDescent="0.3">
      <c r="C836" s="1050"/>
      <c r="D836" s="1050"/>
      <c r="E836" s="1050"/>
      <c r="F836" s="1050"/>
      <c r="G836" s="1050"/>
      <c r="H836" s="1050"/>
      <c r="I836" s="1050"/>
      <c r="J836" s="1050"/>
      <c r="K836" s="1050"/>
      <c r="L836" s="1050"/>
      <c r="M836" s="1072"/>
      <c r="N836" s="1050"/>
      <c r="O836" s="1050"/>
      <c r="P836" s="1050"/>
    </row>
    <row r="837" spans="3:16" x14ac:dyDescent="0.3">
      <c r="C837" s="1050"/>
      <c r="D837" s="1050"/>
      <c r="E837" s="1050"/>
      <c r="F837" s="1050"/>
      <c r="G837" s="1050"/>
      <c r="H837" s="1050"/>
      <c r="I837" s="1050"/>
      <c r="J837" s="1050"/>
      <c r="K837" s="1050"/>
      <c r="L837" s="1050"/>
      <c r="M837" s="1072"/>
      <c r="N837" s="1050"/>
      <c r="O837" s="1050"/>
      <c r="P837" s="1050"/>
    </row>
    <row r="838" spans="3:16" x14ac:dyDescent="0.3">
      <c r="C838" s="1050"/>
      <c r="D838" s="1050"/>
      <c r="E838" s="1050"/>
      <c r="F838" s="1050"/>
      <c r="G838" s="1050"/>
      <c r="H838" s="1050"/>
      <c r="I838" s="1050"/>
      <c r="J838" s="1050"/>
      <c r="K838" s="1050"/>
      <c r="L838" s="1050"/>
      <c r="M838" s="1072"/>
      <c r="N838" s="1050"/>
      <c r="O838" s="1050"/>
      <c r="P838" s="1050"/>
    </row>
    <row r="839" spans="3:16" x14ac:dyDescent="0.3">
      <c r="C839" s="1050"/>
      <c r="D839" s="1050"/>
      <c r="E839" s="1050"/>
      <c r="F839" s="1050"/>
      <c r="G839" s="1050"/>
      <c r="H839" s="1050"/>
      <c r="I839" s="1050"/>
      <c r="J839" s="1050"/>
      <c r="K839" s="1050"/>
      <c r="L839" s="1050"/>
      <c r="M839" s="1072"/>
      <c r="N839" s="1050"/>
      <c r="O839" s="1050"/>
      <c r="P839" s="1050"/>
    </row>
    <row r="840" spans="3:16" x14ac:dyDescent="0.3">
      <c r="C840" s="1050"/>
      <c r="D840" s="1050"/>
      <c r="E840" s="1050"/>
      <c r="F840" s="1050"/>
      <c r="G840" s="1050"/>
      <c r="H840" s="1050"/>
      <c r="I840" s="1050"/>
      <c r="J840" s="1050"/>
      <c r="K840" s="1050"/>
      <c r="L840" s="1050"/>
      <c r="M840" s="1072"/>
      <c r="N840" s="1050"/>
      <c r="O840" s="1050"/>
      <c r="P840" s="1050"/>
    </row>
    <row r="841" spans="3:16" x14ac:dyDescent="0.3">
      <c r="C841" s="1050"/>
      <c r="D841" s="1050"/>
      <c r="E841" s="1050"/>
      <c r="F841" s="1050"/>
      <c r="G841" s="1050"/>
      <c r="H841" s="1050"/>
      <c r="I841" s="1050"/>
      <c r="J841" s="1050"/>
      <c r="K841" s="1050"/>
      <c r="L841" s="1050"/>
      <c r="M841" s="1072"/>
      <c r="N841" s="1050"/>
      <c r="O841" s="1050"/>
      <c r="P841" s="1050"/>
    </row>
    <row r="842" spans="3:16" x14ac:dyDescent="0.3">
      <c r="C842" s="1050"/>
      <c r="D842" s="1050"/>
      <c r="E842" s="1050"/>
      <c r="F842" s="1050"/>
      <c r="G842" s="1050"/>
      <c r="H842" s="1050"/>
      <c r="I842" s="1050"/>
      <c r="J842" s="1050"/>
      <c r="K842" s="1050"/>
      <c r="L842" s="1050"/>
      <c r="M842" s="1072"/>
      <c r="N842" s="1050"/>
      <c r="O842" s="1050"/>
      <c r="P842" s="1050"/>
    </row>
    <row r="843" spans="3:16" x14ac:dyDescent="0.3">
      <c r="C843" s="1050"/>
      <c r="D843" s="1050"/>
      <c r="E843" s="1050"/>
      <c r="F843" s="1050"/>
      <c r="G843" s="1050"/>
      <c r="H843" s="1050"/>
      <c r="I843" s="1050"/>
      <c r="J843" s="1050"/>
      <c r="K843" s="1050"/>
      <c r="L843" s="1050"/>
      <c r="M843" s="1072"/>
      <c r="N843" s="1050"/>
      <c r="O843" s="1050"/>
      <c r="P843" s="1050"/>
    </row>
    <row r="844" spans="3:16" x14ac:dyDescent="0.3">
      <c r="C844" s="1050"/>
      <c r="D844" s="1050"/>
      <c r="E844" s="1050"/>
      <c r="F844" s="1050"/>
      <c r="G844" s="1050"/>
      <c r="H844" s="1050"/>
      <c r="I844" s="1050"/>
      <c r="J844" s="1050"/>
      <c r="K844" s="1050"/>
      <c r="L844" s="1050"/>
      <c r="M844" s="1072"/>
      <c r="N844" s="1050"/>
      <c r="O844" s="1050"/>
      <c r="P844" s="1050"/>
    </row>
    <row r="845" spans="3:16" x14ac:dyDescent="0.3">
      <c r="C845" s="1050"/>
      <c r="D845" s="1050"/>
      <c r="E845" s="1050"/>
      <c r="F845" s="1050"/>
      <c r="G845" s="1050"/>
      <c r="H845" s="1050"/>
      <c r="I845" s="1050"/>
      <c r="J845" s="1050"/>
      <c r="K845" s="1050"/>
      <c r="L845" s="1050"/>
      <c r="M845" s="1072"/>
      <c r="N845" s="1050"/>
      <c r="O845" s="1050"/>
      <c r="P845" s="1050"/>
    </row>
    <row r="846" spans="3:16" x14ac:dyDescent="0.3">
      <c r="C846" s="1050"/>
      <c r="D846" s="1050"/>
      <c r="E846" s="1050"/>
      <c r="F846" s="1050"/>
      <c r="G846" s="1050"/>
      <c r="H846" s="1050"/>
      <c r="I846" s="1050"/>
      <c r="J846" s="1050"/>
      <c r="K846" s="1050"/>
      <c r="L846" s="1050"/>
      <c r="M846" s="1072"/>
      <c r="N846" s="1050"/>
      <c r="O846" s="1050"/>
      <c r="P846" s="1050"/>
    </row>
    <row r="847" spans="3:16" x14ac:dyDescent="0.3">
      <c r="C847" s="1050"/>
      <c r="D847" s="1050"/>
      <c r="E847" s="1050"/>
      <c r="F847" s="1050"/>
      <c r="G847" s="1050"/>
      <c r="H847" s="1050"/>
      <c r="I847" s="1050"/>
      <c r="J847" s="1050"/>
      <c r="K847" s="1050"/>
      <c r="L847" s="1050"/>
      <c r="M847" s="1072"/>
      <c r="N847" s="1050"/>
      <c r="O847" s="1050"/>
      <c r="P847" s="1050"/>
    </row>
    <row r="848" spans="3:16" x14ac:dyDescent="0.3">
      <c r="C848" s="1050"/>
      <c r="D848" s="1050"/>
      <c r="E848" s="1050"/>
      <c r="F848" s="1050"/>
      <c r="G848" s="1050"/>
      <c r="H848" s="1050"/>
      <c r="I848" s="1050"/>
      <c r="J848" s="1050"/>
      <c r="K848" s="1050"/>
      <c r="L848" s="1050"/>
      <c r="M848" s="1072"/>
      <c r="N848" s="1050"/>
      <c r="O848" s="1050"/>
      <c r="P848" s="1050"/>
    </row>
    <row r="849" spans="3:16" x14ac:dyDescent="0.3">
      <c r="C849" s="1050"/>
      <c r="D849" s="1050"/>
      <c r="E849" s="1050"/>
      <c r="F849" s="1050"/>
      <c r="G849" s="1050"/>
      <c r="H849" s="1050"/>
      <c r="I849" s="1050"/>
      <c r="J849" s="1050"/>
      <c r="K849" s="1050"/>
      <c r="L849" s="1050"/>
      <c r="M849" s="1072"/>
      <c r="N849" s="1050"/>
      <c r="O849" s="1050"/>
      <c r="P849" s="1050"/>
    </row>
    <row r="850" spans="3:16" x14ac:dyDescent="0.3">
      <c r="C850" s="1050"/>
      <c r="D850" s="1050"/>
      <c r="E850" s="1050"/>
      <c r="F850" s="1050"/>
      <c r="G850" s="1050"/>
      <c r="H850" s="1050"/>
      <c r="I850" s="1050"/>
      <c r="J850" s="1050"/>
      <c r="K850" s="1050"/>
      <c r="L850" s="1050"/>
      <c r="M850" s="1072"/>
      <c r="N850" s="1050"/>
      <c r="O850" s="1050"/>
      <c r="P850" s="1050"/>
    </row>
    <row r="851" spans="3:16" x14ac:dyDescent="0.3">
      <c r="C851" s="1050"/>
      <c r="D851" s="1050"/>
      <c r="E851" s="1050"/>
      <c r="F851" s="1050"/>
      <c r="G851" s="1050"/>
      <c r="H851" s="1050"/>
      <c r="I851" s="1050"/>
      <c r="J851" s="1050"/>
      <c r="K851" s="1050"/>
      <c r="L851" s="1050"/>
      <c r="M851" s="1072"/>
      <c r="N851" s="1050"/>
      <c r="O851" s="1050"/>
      <c r="P851" s="1050"/>
    </row>
    <row r="852" spans="3:16" x14ac:dyDescent="0.3">
      <c r="C852" s="1050"/>
      <c r="D852" s="1050"/>
      <c r="E852" s="1050"/>
      <c r="F852" s="1050"/>
      <c r="G852" s="1050"/>
      <c r="H852" s="1050"/>
      <c r="I852" s="1050"/>
      <c r="J852" s="1050"/>
      <c r="K852" s="1050"/>
      <c r="L852" s="1050"/>
      <c r="M852" s="1072"/>
      <c r="N852" s="1050"/>
      <c r="O852" s="1050"/>
      <c r="P852" s="1050"/>
    </row>
    <row r="853" spans="3:16" x14ac:dyDescent="0.3">
      <c r="C853" s="1050"/>
      <c r="D853" s="1050"/>
      <c r="E853" s="1050"/>
      <c r="F853" s="1050"/>
      <c r="G853" s="1050"/>
      <c r="H853" s="1050"/>
      <c r="I853" s="1050"/>
      <c r="J853" s="1050"/>
      <c r="K853" s="1050"/>
      <c r="L853" s="1050"/>
      <c r="M853" s="1072"/>
      <c r="N853" s="1050"/>
      <c r="O853" s="1050"/>
      <c r="P853" s="1050"/>
    </row>
    <row r="854" spans="3:16" x14ac:dyDescent="0.3">
      <c r="C854" s="1050"/>
      <c r="D854" s="1050"/>
      <c r="E854" s="1050"/>
      <c r="F854" s="1050"/>
      <c r="G854" s="1050"/>
      <c r="H854" s="1050"/>
      <c r="I854" s="1050"/>
      <c r="J854" s="1050"/>
      <c r="K854" s="1050"/>
      <c r="L854" s="1050"/>
      <c r="M854" s="1072"/>
      <c r="N854" s="1050"/>
      <c r="O854" s="1050"/>
      <c r="P854" s="1050"/>
    </row>
    <row r="855" spans="3:16" x14ac:dyDescent="0.3">
      <c r="C855" s="1050"/>
      <c r="D855" s="1050"/>
      <c r="E855" s="1050"/>
      <c r="F855" s="1050"/>
      <c r="G855" s="1050"/>
      <c r="H855" s="1050"/>
      <c r="I855" s="1050"/>
      <c r="J855" s="1050"/>
      <c r="K855" s="1050"/>
      <c r="L855" s="1050"/>
      <c r="M855" s="1072"/>
      <c r="N855" s="1050"/>
      <c r="O855" s="1050"/>
      <c r="P855" s="1050"/>
    </row>
    <row r="856" spans="3:16" x14ac:dyDescent="0.3">
      <c r="C856" s="1050"/>
      <c r="D856" s="1050"/>
      <c r="E856" s="1050"/>
      <c r="F856" s="1050"/>
      <c r="G856" s="1050"/>
      <c r="H856" s="1050"/>
      <c r="I856" s="1050"/>
      <c r="J856" s="1050"/>
      <c r="K856" s="1050"/>
      <c r="L856" s="1050"/>
      <c r="M856" s="1072"/>
      <c r="N856" s="1050"/>
      <c r="O856" s="1050"/>
      <c r="P856" s="1050"/>
    </row>
    <row r="857" spans="3:16" x14ac:dyDescent="0.3">
      <c r="C857" s="1050"/>
      <c r="D857" s="1050"/>
      <c r="E857" s="1050"/>
      <c r="F857" s="1050"/>
      <c r="G857" s="1050"/>
      <c r="H857" s="1050"/>
      <c r="I857" s="1050"/>
      <c r="J857" s="1050"/>
      <c r="K857" s="1050"/>
      <c r="L857" s="1050"/>
      <c r="M857" s="1072"/>
      <c r="N857" s="1050"/>
      <c r="O857" s="1050"/>
      <c r="P857" s="1050"/>
    </row>
    <row r="858" spans="3:16" x14ac:dyDescent="0.3">
      <c r="C858" s="1050"/>
      <c r="D858" s="1050"/>
      <c r="E858" s="1050"/>
      <c r="F858" s="1050"/>
      <c r="G858" s="1050"/>
      <c r="H858" s="1050"/>
      <c r="I858" s="1050"/>
      <c r="J858" s="1050"/>
      <c r="K858" s="1050"/>
      <c r="L858" s="1050"/>
      <c r="M858" s="1072"/>
      <c r="N858" s="1050"/>
      <c r="O858" s="1050"/>
      <c r="P858" s="1050"/>
    </row>
    <row r="859" spans="3:16" x14ac:dyDescent="0.3">
      <c r="C859" s="1050"/>
      <c r="D859" s="1050"/>
      <c r="E859" s="1050"/>
      <c r="F859" s="1050"/>
      <c r="G859" s="1050"/>
      <c r="H859" s="1050"/>
      <c r="I859" s="1050"/>
      <c r="J859" s="1050"/>
      <c r="K859" s="1050"/>
      <c r="L859" s="1050"/>
      <c r="M859" s="1072"/>
      <c r="N859" s="1050"/>
      <c r="O859" s="1050"/>
      <c r="P859" s="1050"/>
    </row>
    <row r="860" spans="3:16" x14ac:dyDescent="0.3">
      <c r="C860" s="1050"/>
      <c r="D860" s="1050"/>
      <c r="E860" s="1050"/>
      <c r="F860" s="1050"/>
      <c r="G860" s="1050"/>
      <c r="H860" s="1050"/>
      <c r="I860" s="1050"/>
      <c r="J860" s="1050"/>
      <c r="K860" s="1050"/>
      <c r="L860" s="1050"/>
      <c r="M860" s="1072"/>
      <c r="N860" s="1050"/>
      <c r="O860" s="1050"/>
      <c r="P860" s="1050"/>
    </row>
    <row r="861" spans="3:16" x14ac:dyDescent="0.3">
      <c r="C861" s="1050"/>
      <c r="D861" s="1050"/>
      <c r="E861" s="1050"/>
      <c r="F861" s="1050"/>
      <c r="G861" s="1050"/>
      <c r="H861" s="1050"/>
      <c r="I861" s="1050"/>
      <c r="J861" s="1050"/>
      <c r="K861" s="1050"/>
      <c r="L861" s="1050"/>
      <c r="M861" s="1072"/>
      <c r="N861" s="1050"/>
      <c r="O861" s="1050"/>
      <c r="P861" s="1050"/>
    </row>
    <row r="862" spans="3:16" x14ac:dyDescent="0.3">
      <c r="C862" s="1050"/>
      <c r="D862" s="1050"/>
      <c r="E862" s="1050"/>
      <c r="F862" s="1050"/>
      <c r="G862" s="1050"/>
      <c r="H862" s="1050"/>
      <c r="I862" s="1050"/>
      <c r="J862" s="1050"/>
      <c r="K862" s="1050"/>
      <c r="L862" s="1050"/>
      <c r="M862" s="1072"/>
      <c r="N862" s="1050"/>
      <c r="O862" s="1050"/>
      <c r="P862" s="1050"/>
    </row>
    <row r="863" spans="3:16" x14ac:dyDescent="0.3">
      <c r="C863" s="1050"/>
      <c r="D863" s="1050"/>
      <c r="E863" s="1050"/>
      <c r="F863" s="1050"/>
      <c r="G863" s="1050"/>
      <c r="H863" s="1050"/>
      <c r="I863" s="1050"/>
      <c r="J863" s="1050"/>
      <c r="K863" s="1050"/>
      <c r="L863" s="1050"/>
      <c r="M863" s="1072"/>
      <c r="N863" s="1050"/>
      <c r="O863" s="1050"/>
      <c r="P863" s="1050"/>
    </row>
    <row r="864" spans="3:16" x14ac:dyDescent="0.3">
      <c r="C864" s="1050"/>
      <c r="D864" s="1050"/>
      <c r="E864" s="1050"/>
      <c r="F864" s="1050"/>
      <c r="G864" s="1050"/>
      <c r="H864" s="1050"/>
      <c r="I864" s="1050"/>
      <c r="J864" s="1050"/>
      <c r="K864" s="1050"/>
      <c r="L864" s="1050"/>
      <c r="M864" s="1072"/>
      <c r="N864" s="1050"/>
      <c r="O864" s="1050"/>
      <c r="P864" s="1050"/>
    </row>
    <row r="865" spans="3:16" x14ac:dyDescent="0.3">
      <c r="C865" s="1050"/>
      <c r="D865" s="1050"/>
      <c r="E865" s="1050"/>
      <c r="F865" s="1050"/>
      <c r="G865" s="1050"/>
      <c r="H865" s="1050"/>
      <c r="I865" s="1050"/>
      <c r="J865" s="1050"/>
      <c r="K865" s="1050"/>
      <c r="L865" s="1050"/>
      <c r="M865" s="1072"/>
      <c r="N865" s="1050"/>
      <c r="O865" s="1050"/>
      <c r="P865" s="1050"/>
    </row>
    <row r="866" spans="3:16" x14ac:dyDescent="0.3">
      <c r="C866" s="1050"/>
      <c r="D866" s="1050"/>
      <c r="E866" s="1050"/>
      <c r="F866" s="1050"/>
      <c r="G866" s="1050"/>
      <c r="H866" s="1050"/>
      <c r="I866" s="1050"/>
      <c r="J866" s="1050"/>
      <c r="K866" s="1050"/>
      <c r="L866" s="1050"/>
      <c r="M866" s="1072"/>
      <c r="N866" s="1050"/>
      <c r="O866" s="1050"/>
      <c r="P866" s="1050"/>
    </row>
    <row r="867" spans="3:16" x14ac:dyDescent="0.3">
      <c r="C867" s="1050"/>
      <c r="D867" s="1050"/>
      <c r="E867" s="1050"/>
      <c r="F867" s="1050"/>
      <c r="G867" s="1050"/>
      <c r="H867" s="1050"/>
      <c r="I867" s="1050"/>
      <c r="J867" s="1050"/>
      <c r="K867" s="1050"/>
      <c r="L867" s="1050"/>
      <c r="M867" s="1072"/>
      <c r="N867" s="1050"/>
      <c r="O867" s="1050"/>
      <c r="P867" s="1050"/>
    </row>
    <row r="868" spans="3:16" x14ac:dyDescent="0.3">
      <c r="C868" s="1050"/>
      <c r="D868" s="1050"/>
      <c r="E868" s="1050"/>
      <c r="F868" s="1050"/>
      <c r="G868" s="1050"/>
      <c r="H868" s="1050"/>
      <c r="I868" s="1050"/>
      <c r="J868" s="1050"/>
      <c r="K868" s="1050"/>
      <c r="L868" s="1050"/>
      <c r="M868" s="1072"/>
      <c r="N868" s="1050"/>
      <c r="O868" s="1050"/>
      <c r="P868" s="1050"/>
    </row>
    <row r="869" spans="3:16" x14ac:dyDescent="0.3">
      <c r="C869" s="1050"/>
      <c r="D869" s="1050"/>
      <c r="E869" s="1050"/>
      <c r="F869" s="1050"/>
      <c r="G869" s="1050"/>
      <c r="H869" s="1050"/>
      <c r="I869" s="1050"/>
      <c r="J869" s="1050"/>
      <c r="K869" s="1050"/>
      <c r="L869" s="1050"/>
      <c r="M869" s="1072"/>
      <c r="N869" s="1050"/>
      <c r="O869" s="1050"/>
      <c r="P869" s="1050"/>
    </row>
    <row r="870" spans="3:16" x14ac:dyDescent="0.3">
      <c r="C870" s="1050"/>
      <c r="D870" s="1050"/>
      <c r="E870" s="1050"/>
      <c r="F870" s="1050"/>
      <c r="G870" s="1050"/>
      <c r="H870" s="1050"/>
      <c r="I870" s="1050"/>
      <c r="J870" s="1050"/>
      <c r="K870" s="1050"/>
      <c r="L870" s="1050"/>
      <c r="M870" s="1072"/>
      <c r="N870" s="1050"/>
      <c r="O870" s="1050"/>
      <c r="P870" s="1050"/>
    </row>
    <row r="871" spans="3:16" x14ac:dyDescent="0.3">
      <c r="C871" s="1050"/>
      <c r="D871" s="1050"/>
      <c r="E871" s="1050"/>
      <c r="F871" s="1050"/>
      <c r="G871" s="1050"/>
      <c r="H871" s="1050"/>
      <c r="I871" s="1050"/>
      <c r="J871" s="1050"/>
      <c r="K871" s="1050"/>
      <c r="L871" s="1050"/>
      <c r="M871" s="1072"/>
      <c r="N871" s="1050"/>
      <c r="O871" s="1050"/>
      <c r="P871" s="1050"/>
    </row>
    <row r="872" spans="3:16" x14ac:dyDescent="0.3">
      <c r="C872" s="1050"/>
      <c r="D872" s="1050"/>
      <c r="E872" s="1050"/>
      <c r="F872" s="1050"/>
      <c r="G872" s="1050"/>
      <c r="H872" s="1050"/>
      <c r="I872" s="1050"/>
      <c r="J872" s="1050"/>
      <c r="K872" s="1050"/>
      <c r="L872" s="1050"/>
      <c r="M872" s="1072"/>
      <c r="N872" s="1050"/>
      <c r="O872" s="1050"/>
      <c r="P872" s="1050"/>
    </row>
    <row r="873" spans="3:16" x14ac:dyDescent="0.3">
      <c r="C873" s="1050"/>
      <c r="D873" s="1050"/>
      <c r="E873" s="1050"/>
      <c r="F873" s="1050"/>
      <c r="G873" s="1050"/>
      <c r="H873" s="1050"/>
      <c r="I873" s="1050"/>
      <c r="J873" s="1050"/>
      <c r="K873" s="1050"/>
      <c r="L873" s="1050"/>
      <c r="M873" s="1072"/>
      <c r="N873" s="1050"/>
      <c r="O873" s="1050"/>
      <c r="P873" s="1050"/>
    </row>
    <row r="874" spans="3:16" x14ac:dyDescent="0.3">
      <c r="C874" s="1050"/>
      <c r="D874" s="1050"/>
      <c r="E874" s="1050"/>
      <c r="F874" s="1050"/>
      <c r="G874" s="1050"/>
      <c r="H874" s="1050"/>
      <c r="I874" s="1050"/>
      <c r="J874" s="1050"/>
      <c r="K874" s="1050"/>
      <c r="L874" s="1050"/>
      <c r="M874" s="1072"/>
      <c r="N874" s="1050"/>
      <c r="O874" s="1050"/>
      <c r="P874" s="1050"/>
    </row>
    <row r="875" spans="3:16" x14ac:dyDescent="0.3">
      <c r="C875" s="1050"/>
      <c r="D875" s="1050"/>
      <c r="E875" s="1050"/>
      <c r="F875" s="1050"/>
      <c r="G875" s="1050"/>
      <c r="H875" s="1050"/>
      <c r="I875" s="1050"/>
      <c r="J875" s="1050"/>
      <c r="K875" s="1050"/>
      <c r="L875" s="1050"/>
      <c r="M875" s="1072"/>
      <c r="N875" s="1050"/>
      <c r="O875" s="1050"/>
      <c r="P875" s="1050"/>
    </row>
    <row r="876" spans="3:16" x14ac:dyDescent="0.3">
      <c r="C876" s="1050"/>
      <c r="D876" s="1050"/>
      <c r="E876" s="1050"/>
      <c r="F876" s="1050"/>
      <c r="G876" s="1050"/>
      <c r="H876" s="1050"/>
      <c r="I876" s="1050"/>
      <c r="J876" s="1050"/>
      <c r="K876" s="1050"/>
      <c r="L876" s="1050"/>
      <c r="M876" s="1072"/>
      <c r="N876" s="1050"/>
      <c r="O876" s="1050"/>
      <c r="P876" s="1050"/>
    </row>
    <row r="877" spans="3:16" x14ac:dyDescent="0.3">
      <c r="C877" s="1050"/>
      <c r="D877" s="1050"/>
      <c r="E877" s="1050"/>
      <c r="F877" s="1050"/>
      <c r="G877" s="1050"/>
      <c r="H877" s="1050"/>
      <c r="I877" s="1050"/>
      <c r="J877" s="1050"/>
      <c r="K877" s="1050"/>
      <c r="L877" s="1050"/>
      <c r="M877" s="1072"/>
      <c r="N877" s="1050"/>
      <c r="O877" s="1050"/>
      <c r="P877" s="1050"/>
    </row>
    <row r="878" spans="3:16" x14ac:dyDescent="0.3">
      <c r="C878" s="1050"/>
      <c r="D878" s="1050"/>
      <c r="E878" s="1050"/>
      <c r="F878" s="1050"/>
      <c r="G878" s="1050"/>
      <c r="H878" s="1050"/>
      <c r="I878" s="1050"/>
      <c r="J878" s="1050"/>
      <c r="K878" s="1050"/>
      <c r="L878" s="1050"/>
      <c r="M878" s="1072"/>
      <c r="N878" s="1050"/>
      <c r="O878" s="1050"/>
      <c r="P878" s="1050"/>
    </row>
    <row r="879" spans="3:16" x14ac:dyDescent="0.3">
      <c r="C879" s="1050"/>
      <c r="D879" s="1050"/>
      <c r="E879" s="1050"/>
      <c r="F879" s="1050"/>
      <c r="G879" s="1050"/>
      <c r="H879" s="1050"/>
      <c r="I879" s="1050"/>
      <c r="J879" s="1050"/>
      <c r="K879" s="1050"/>
      <c r="L879" s="1050"/>
      <c r="M879" s="1072"/>
      <c r="N879" s="1050"/>
      <c r="O879" s="1050"/>
      <c r="P879" s="1050"/>
    </row>
    <row r="880" spans="3:16" x14ac:dyDescent="0.3">
      <c r="C880" s="1050"/>
      <c r="D880" s="1050"/>
      <c r="E880" s="1050"/>
      <c r="F880" s="1050"/>
      <c r="G880" s="1050"/>
      <c r="H880" s="1050"/>
      <c r="I880" s="1050"/>
      <c r="J880" s="1050"/>
      <c r="K880" s="1050"/>
      <c r="L880" s="1050"/>
      <c r="M880" s="1072"/>
      <c r="N880" s="1050"/>
      <c r="O880" s="1050"/>
      <c r="P880" s="1050"/>
    </row>
    <row r="881" spans="3:16" x14ac:dyDescent="0.3">
      <c r="C881" s="1050"/>
      <c r="D881" s="1050"/>
      <c r="E881" s="1050"/>
      <c r="F881" s="1050"/>
      <c r="G881" s="1050"/>
      <c r="H881" s="1050"/>
      <c r="I881" s="1050"/>
      <c r="J881" s="1050"/>
      <c r="K881" s="1050"/>
      <c r="L881" s="1050"/>
      <c r="M881" s="1072"/>
      <c r="N881" s="1050"/>
      <c r="O881" s="1050"/>
      <c r="P881" s="1050"/>
    </row>
    <row r="882" spans="3:16" x14ac:dyDescent="0.3">
      <c r="C882" s="1050"/>
      <c r="D882" s="1050"/>
      <c r="E882" s="1050"/>
      <c r="F882" s="1050"/>
      <c r="G882" s="1050"/>
      <c r="H882" s="1050"/>
      <c r="I882" s="1050"/>
      <c r="J882" s="1050"/>
      <c r="K882" s="1050"/>
      <c r="L882" s="1050"/>
      <c r="M882" s="1072"/>
      <c r="N882" s="1050"/>
      <c r="O882" s="1050"/>
      <c r="P882" s="1050"/>
    </row>
    <row r="883" spans="3:16" x14ac:dyDescent="0.3">
      <c r="C883" s="1050"/>
      <c r="D883" s="1050"/>
      <c r="E883" s="1050"/>
      <c r="F883" s="1050"/>
      <c r="G883" s="1050"/>
      <c r="H883" s="1050"/>
      <c r="I883" s="1050"/>
      <c r="J883" s="1050"/>
      <c r="K883" s="1050"/>
      <c r="L883" s="1050"/>
      <c r="M883" s="1072"/>
      <c r="N883" s="1050"/>
      <c r="O883" s="1050"/>
      <c r="P883" s="1050"/>
    </row>
    <row r="884" spans="3:16" x14ac:dyDescent="0.3">
      <c r="C884" s="1050"/>
      <c r="D884" s="1050"/>
      <c r="E884" s="1050"/>
      <c r="F884" s="1050"/>
      <c r="G884" s="1050"/>
      <c r="H884" s="1050"/>
      <c r="I884" s="1050"/>
      <c r="J884" s="1050"/>
      <c r="K884" s="1050"/>
      <c r="L884" s="1050"/>
      <c r="M884" s="1072"/>
      <c r="N884" s="1050"/>
      <c r="O884" s="1050"/>
      <c r="P884" s="1050"/>
    </row>
    <row r="885" spans="3:16" x14ac:dyDescent="0.3">
      <c r="C885" s="1050"/>
      <c r="D885" s="1050"/>
      <c r="E885" s="1050"/>
      <c r="F885" s="1050"/>
      <c r="G885" s="1050"/>
      <c r="H885" s="1050"/>
      <c r="I885" s="1050"/>
      <c r="J885" s="1050"/>
      <c r="K885" s="1050"/>
      <c r="L885" s="1050"/>
      <c r="M885" s="1072"/>
      <c r="N885" s="1050"/>
      <c r="O885" s="1050"/>
      <c r="P885" s="1050"/>
    </row>
    <row r="886" spans="3:16" x14ac:dyDescent="0.3">
      <c r="C886" s="1050"/>
      <c r="D886" s="1050"/>
      <c r="E886" s="1050"/>
      <c r="F886" s="1050"/>
      <c r="G886" s="1050"/>
      <c r="H886" s="1050"/>
      <c r="I886" s="1050"/>
      <c r="J886" s="1050"/>
      <c r="K886" s="1050"/>
      <c r="L886" s="1050"/>
      <c r="M886" s="1072"/>
      <c r="N886" s="1050"/>
      <c r="O886" s="1050"/>
      <c r="P886" s="1050"/>
    </row>
    <row r="887" spans="3:16" x14ac:dyDescent="0.3">
      <c r="C887" s="1050"/>
      <c r="D887" s="1050"/>
      <c r="E887" s="1050"/>
      <c r="F887" s="1050"/>
      <c r="G887" s="1050"/>
      <c r="H887" s="1050"/>
      <c r="I887" s="1050"/>
      <c r="J887" s="1050"/>
      <c r="K887" s="1050"/>
      <c r="L887" s="1050"/>
      <c r="M887" s="1072"/>
      <c r="N887" s="1050"/>
      <c r="O887" s="1050"/>
      <c r="P887" s="1050"/>
    </row>
    <row r="888" spans="3:16" x14ac:dyDescent="0.3">
      <c r="C888" s="1050"/>
      <c r="D888" s="1050"/>
      <c r="E888" s="1050"/>
      <c r="F888" s="1050"/>
      <c r="G888" s="1050"/>
      <c r="H888" s="1050"/>
      <c r="I888" s="1050"/>
      <c r="J888" s="1050"/>
      <c r="K888" s="1050"/>
      <c r="L888" s="1050"/>
      <c r="M888" s="1072"/>
      <c r="N888" s="1050"/>
      <c r="O888" s="1050"/>
      <c r="P888" s="1050"/>
    </row>
    <row r="889" spans="3:16" x14ac:dyDescent="0.3">
      <c r="C889" s="1050"/>
      <c r="D889" s="1050"/>
      <c r="E889" s="1050"/>
      <c r="F889" s="1050"/>
      <c r="G889" s="1050"/>
      <c r="H889" s="1050"/>
      <c r="I889" s="1050"/>
      <c r="J889" s="1050"/>
      <c r="K889" s="1050"/>
      <c r="L889" s="1050"/>
      <c r="M889" s="1072"/>
      <c r="N889" s="1050"/>
      <c r="O889" s="1050"/>
      <c r="P889" s="1050"/>
    </row>
    <row r="890" spans="3:16" x14ac:dyDescent="0.3">
      <c r="C890" s="1050"/>
      <c r="D890" s="1050"/>
      <c r="E890" s="1050"/>
      <c r="F890" s="1050"/>
      <c r="G890" s="1050"/>
      <c r="H890" s="1050"/>
      <c r="I890" s="1050"/>
      <c r="J890" s="1050"/>
      <c r="K890" s="1050"/>
      <c r="L890" s="1050"/>
      <c r="M890" s="1072"/>
      <c r="N890" s="1050"/>
      <c r="O890" s="1050"/>
      <c r="P890" s="1050"/>
    </row>
    <row r="891" spans="3:16" x14ac:dyDescent="0.3">
      <c r="C891" s="1050"/>
      <c r="D891" s="1050"/>
      <c r="E891" s="1050"/>
      <c r="F891" s="1050"/>
      <c r="G891" s="1050"/>
      <c r="H891" s="1050"/>
      <c r="I891" s="1050"/>
      <c r="J891" s="1050"/>
      <c r="K891" s="1050"/>
      <c r="L891" s="1050"/>
      <c r="M891" s="1072"/>
      <c r="N891" s="1050"/>
      <c r="O891" s="1050"/>
      <c r="P891" s="1050"/>
    </row>
    <row r="892" spans="3:16" x14ac:dyDescent="0.3">
      <c r="C892" s="1050"/>
      <c r="D892" s="1050"/>
      <c r="E892" s="1050"/>
      <c r="F892" s="1050"/>
      <c r="G892" s="1050"/>
      <c r="H892" s="1050"/>
      <c r="I892" s="1050"/>
      <c r="J892" s="1050"/>
      <c r="K892" s="1050"/>
      <c r="L892" s="1050"/>
      <c r="M892" s="1072"/>
      <c r="N892" s="1050"/>
      <c r="O892" s="1050"/>
      <c r="P892" s="1050"/>
    </row>
    <row r="893" spans="3:16" x14ac:dyDescent="0.3">
      <c r="C893" s="1050"/>
      <c r="D893" s="1050"/>
      <c r="E893" s="1050"/>
      <c r="F893" s="1050"/>
      <c r="G893" s="1050"/>
      <c r="H893" s="1050"/>
      <c r="I893" s="1050"/>
      <c r="J893" s="1050"/>
      <c r="K893" s="1050"/>
      <c r="L893" s="1050"/>
      <c r="M893" s="1072"/>
      <c r="N893" s="1050"/>
      <c r="O893" s="1050"/>
      <c r="P893" s="1050"/>
    </row>
    <row r="894" spans="3:16" x14ac:dyDescent="0.3">
      <c r="C894" s="1050"/>
      <c r="D894" s="1050"/>
      <c r="E894" s="1050"/>
      <c r="F894" s="1050"/>
      <c r="G894" s="1050"/>
      <c r="H894" s="1050"/>
      <c r="I894" s="1050"/>
      <c r="J894" s="1050"/>
      <c r="K894" s="1050"/>
      <c r="L894" s="1050"/>
      <c r="M894" s="1072"/>
      <c r="N894" s="1050"/>
      <c r="O894" s="1050"/>
      <c r="P894" s="1050"/>
    </row>
    <row r="895" spans="3:16" x14ac:dyDescent="0.3">
      <c r="C895" s="1050"/>
      <c r="D895" s="1050"/>
      <c r="E895" s="1050"/>
      <c r="F895" s="1050"/>
      <c r="G895" s="1050"/>
      <c r="H895" s="1050"/>
      <c r="I895" s="1050"/>
      <c r="J895" s="1050"/>
      <c r="K895" s="1050"/>
      <c r="L895" s="1050"/>
      <c r="M895" s="1072"/>
      <c r="N895" s="1050"/>
      <c r="O895" s="1050"/>
      <c r="P895" s="1050"/>
    </row>
    <row r="896" spans="3:16" x14ac:dyDescent="0.3">
      <c r="C896" s="1050"/>
      <c r="D896" s="1050"/>
      <c r="E896" s="1050"/>
      <c r="F896" s="1050"/>
      <c r="G896" s="1050"/>
      <c r="H896" s="1050"/>
      <c r="I896" s="1050"/>
      <c r="J896" s="1050"/>
      <c r="K896" s="1050"/>
      <c r="L896" s="1050"/>
      <c r="M896" s="1072"/>
      <c r="N896" s="1050"/>
      <c r="O896" s="1050"/>
      <c r="P896" s="1050"/>
    </row>
    <row r="897" spans="3:16" x14ac:dyDescent="0.3">
      <c r="C897" s="1050"/>
      <c r="D897" s="1050"/>
      <c r="E897" s="1050"/>
      <c r="F897" s="1050"/>
      <c r="G897" s="1050"/>
      <c r="H897" s="1050"/>
      <c r="I897" s="1050"/>
      <c r="J897" s="1050"/>
      <c r="K897" s="1050"/>
      <c r="L897" s="1050"/>
      <c r="M897" s="1072"/>
      <c r="N897" s="1050"/>
      <c r="O897" s="1050"/>
      <c r="P897" s="1050"/>
    </row>
    <row r="898" spans="3:16" x14ac:dyDescent="0.3">
      <c r="C898" s="1050"/>
      <c r="D898" s="1050"/>
      <c r="E898" s="1050"/>
      <c r="F898" s="1050"/>
      <c r="G898" s="1050"/>
      <c r="H898" s="1050"/>
      <c r="I898" s="1050"/>
      <c r="J898" s="1050"/>
      <c r="K898" s="1050"/>
      <c r="L898" s="1050"/>
      <c r="M898" s="1072"/>
      <c r="N898" s="1050"/>
      <c r="O898" s="1050"/>
      <c r="P898" s="1050"/>
    </row>
    <row r="899" spans="3:16" x14ac:dyDescent="0.3">
      <c r="C899" s="1050"/>
      <c r="D899" s="1050"/>
      <c r="E899" s="1050"/>
      <c r="F899" s="1050"/>
      <c r="G899" s="1050"/>
      <c r="H899" s="1050"/>
      <c r="I899" s="1050"/>
      <c r="J899" s="1050"/>
      <c r="K899" s="1050"/>
      <c r="L899" s="1050"/>
      <c r="M899" s="1072"/>
      <c r="N899" s="1050"/>
      <c r="O899" s="1050"/>
      <c r="P899" s="1050"/>
    </row>
    <row r="900" spans="3:16" x14ac:dyDescent="0.3">
      <c r="C900" s="1050"/>
      <c r="D900" s="1050"/>
      <c r="E900" s="1050"/>
      <c r="F900" s="1050"/>
      <c r="G900" s="1050"/>
      <c r="H900" s="1050"/>
      <c r="I900" s="1050"/>
      <c r="J900" s="1050"/>
      <c r="K900" s="1050"/>
      <c r="L900" s="1050"/>
      <c r="M900" s="1072"/>
      <c r="N900" s="1050"/>
      <c r="O900" s="1050"/>
      <c r="P900" s="1050"/>
    </row>
    <row r="901" spans="3:16" x14ac:dyDescent="0.3">
      <c r="C901" s="1050"/>
      <c r="D901" s="1050"/>
      <c r="E901" s="1050"/>
      <c r="F901" s="1050"/>
      <c r="G901" s="1050"/>
      <c r="H901" s="1050"/>
      <c r="I901" s="1050"/>
      <c r="J901" s="1050"/>
      <c r="K901" s="1050"/>
      <c r="L901" s="1050"/>
      <c r="M901" s="1072"/>
      <c r="N901" s="1050"/>
      <c r="O901" s="1050"/>
      <c r="P901" s="1050"/>
    </row>
    <row r="902" spans="3:16" x14ac:dyDescent="0.3">
      <c r="C902" s="1050"/>
      <c r="D902" s="1050"/>
      <c r="E902" s="1050"/>
      <c r="F902" s="1050"/>
      <c r="G902" s="1050"/>
      <c r="H902" s="1050"/>
      <c r="I902" s="1050"/>
      <c r="J902" s="1050"/>
      <c r="K902" s="1050"/>
      <c r="L902" s="1050"/>
      <c r="M902" s="1072"/>
      <c r="N902" s="1050"/>
      <c r="O902" s="1050"/>
      <c r="P902" s="1050"/>
    </row>
    <row r="903" spans="3:16" x14ac:dyDescent="0.3">
      <c r="C903" s="1050"/>
      <c r="D903" s="1050"/>
      <c r="E903" s="1050"/>
      <c r="F903" s="1050"/>
      <c r="G903" s="1050"/>
      <c r="H903" s="1050"/>
      <c r="I903" s="1050"/>
      <c r="J903" s="1050"/>
      <c r="K903" s="1050"/>
      <c r="L903" s="1050"/>
      <c r="M903" s="1072"/>
      <c r="N903" s="1050"/>
      <c r="O903" s="1050"/>
      <c r="P903" s="1050"/>
    </row>
    <row r="904" spans="3:16" x14ac:dyDescent="0.3">
      <c r="C904" s="1050"/>
      <c r="D904" s="1050"/>
      <c r="E904" s="1050"/>
      <c r="F904" s="1050"/>
      <c r="G904" s="1050"/>
      <c r="H904" s="1050"/>
      <c r="I904" s="1050"/>
      <c r="J904" s="1050"/>
      <c r="K904" s="1050"/>
      <c r="L904" s="1050"/>
      <c r="M904" s="1072"/>
      <c r="N904" s="1050"/>
      <c r="O904" s="1050"/>
      <c r="P904" s="1050"/>
    </row>
    <row r="905" spans="3:16" x14ac:dyDescent="0.3">
      <c r="C905" s="1050"/>
      <c r="D905" s="1050"/>
      <c r="E905" s="1050"/>
      <c r="F905" s="1050"/>
      <c r="G905" s="1050"/>
      <c r="H905" s="1050"/>
      <c r="I905" s="1050"/>
      <c r="J905" s="1050"/>
      <c r="K905" s="1050"/>
      <c r="L905" s="1050"/>
      <c r="M905" s="1072"/>
      <c r="N905" s="1050"/>
      <c r="O905" s="1050"/>
      <c r="P905" s="1050"/>
    </row>
    <row r="906" spans="3:16" x14ac:dyDescent="0.3">
      <c r="C906" s="1050"/>
      <c r="D906" s="1050"/>
      <c r="E906" s="1050"/>
      <c r="F906" s="1050"/>
      <c r="G906" s="1050"/>
      <c r="H906" s="1050"/>
      <c r="I906" s="1050"/>
      <c r="J906" s="1050"/>
      <c r="K906" s="1050"/>
      <c r="L906" s="1050"/>
      <c r="M906" s="1072"/>
      <c r="N906" s="1050"/>
      <c r="O906" s="1050"/>
      <c r="P906" s="1050"/>
    </row>
    <row r="907" spans="3:16" x14ac:dyDescent="0.3">
      <c r="C907" s="1050"/>
      <c r="D907" s="1050"/>
      <c r="E907" s="1050"/>
      <c r="F907" s="1050"/>
      <c r="G907" s="1050"/>
      <c r="H907" s="1050"/>
      <c r="I907" s="1050"/>
      <c r="J907" s="1050"/>
      <c r="K907" s="1050"/>
      <c r="L907" s="1050"/>
      <c r="M907" s="1072"/>
      <c r="N907" s="1050"/>
      <c r="O907" s="1050"/>
      <c r="P907" s="1050"/>
    </row>
    <row r="908" spans="3:16" x14ac:dyDescent="0.3">
      <c r="C908" s="1050"/>
      <c r="D908" s="1050"/>
      <c r="E908" s="1050"/>
      <c r="F908" s="1050"/>
      <c r="G908" s="1050"/>
      <c r="H908" s="1050"/>
      <c r="I908" s="1050"/>
      <c r="J908" s="1050"/>
      <c r="K908" s="1050"/>
      <c r="L908" s="1050"/>
      <c r="M908" s="1072"/>
      <c r="N908" s="1050"/>
      <c r="O908" s="1050"/>
      <c r="P908" s="1050"/>
    </row>
    <row r="909" spans="3:16" x14ac:dyDescent="0.3">
      <c r="C909" s="1050"/>
      <c r="D909" s="1050"/>
      <c r="E909" s="1050"/>
      <c r="F909" s="1050"/>
      <c r="G909" s="1050"/>
      <c r="H909" s="1050"/>
      <c r="I909" s="1050"/>
      <c r="J909" s="1050"/>
      <c r="K909" s="1050"/>
      <c r="L909" s="1050"/>
      <c r="M909" s="1072"/>
      <c r="N909" s="1050"/>
      <c r="O909" s="1050"/>
      <c r="P909" s="1050"/>
    </row>
    <row r="910" spans="3:16" x14ac:dyDescent="0.3">
      <c r="C910" s="1050"/>
      <c r="D910" s="1050"/>
      <c r="E910" s="1050"/>
      <c r="F910" s="1050"/>
      <c r="G910" s="1050"/>
      <c r="H910" s="1050"/>
      <c r="I910" s="1050"/>
      <c r="J910" s="1050"/>
      <c r="K910" s="1050"/>
      <c r="L910" s="1050"/>
      <c r="M910" s="1072"/>
      <c r="N910" s="1050"/>
      <c r="O910" s="1050"/>
      <c r="P910" s="1050"/>
    </row>
    <row r="911" spans="3:16" x14ac:dyDescent="0.3">
      <c r="C911" s="1050"/>
      <c r="D911" s="1050"/>
      <c r="E911" s="1050"/>
      <c r="F911" s="1050"/>
      <c r="G911" s="1050"/>
      <c r="H911" s="1050"/>
      <c r="I911" s="1050"/>
      <c r="J911" s="1050"/>
      <c r="K911" s="1050"/>
      <c r="L911" s="1050"/>
      <c r="M911" s="1072"/>
      <c r="N911" s="1050"/>
      <c r="O911" s="1050"/>
      <c r="P911" s="1050"/>
    </row>
    <row r="912" spans="3:16" x14ac:dyDescent="0.3">
      <c r="C912" s="1050"/>
      <c r="D912" s="1050"/>
      <c r="E912" s="1050"/>
      <c r="F912" s="1050"/>
      <c r="G912" s="1050"/>
      <c r="H912" s="1050"/>
      <c r="I912" s="1050"/>
      <c r="J912" s="1050"/>
      <c r="K912" s="1050"/>
      <c r="L912" s="1050"/>
      <c r="M912" s="1072"/>
      <c r="N912" s="1050"/>
      <c r="O912" s="1050"/>
      <c r="P912" s="1050"/>
    </row>
    <row r="913" spans="3:16" x14ac:dyDescent="0.3">
      <c r="C913" s="1050"/>
      <c r="D913" s="1050"/>
      <c r="E913" s="1050"/>
      <c r="F913" s="1050"/>
      <c r="G913" s="1050"/>
      <c r="H913" s="1050"/>
      <c r="I913" s="1050"/>
      <c r="J913" s="1050"/>
      <c r="K913" s="1050"/>
      <c r="L913" s="1050"/>
      <c r="M913" s="1072"/>
      <c r="N913" s="1050"/>
      <c r="O913" s="1050"/>
      <c r="P913" s="1050"/>
    </row>
    <row r="914" spans="3:16" x14ac:dyDescent="0.3">
      <c r="C914" s="1050"/>
      <c r="D914" s="1050"/>
      <c r="E914" s="1050"/>
      <c r="F914" s="1050"/>
      <c r="G914" s="1050"/>
      <c r="H914" s="1050"/>
      <c r="I914" s="1050"/>
      <c r="J914" s="1050"/>
      <c r="K914" s="1050"/>
      <c r="L914" s="1050"/>
      <c r="M914" s="1072"/>
      <c r="N914" s="1050"/>
      <c r="O914" s="1050"/>
      <c r="P914" s="1050"/>
    </row>
    <row r="915" spans="3:16" x14ac:dyDescent="0.3">
      <c r="C915" s="1050"/>
      <c r="D915" s="1050"/>
      <c r="E915" s="1050"/>
      <c r="F915" s="1050"/>
      <c r="G915" s="1050"/>
      <c r="H915" s="1050"/>
      <c r="I915" s="1050"/>
      <c r="J915" s="1050"/>
      <c r="K915" s="1050"/>
      <c r="L915" s="1050"/>
      <c r="M915" s="1072"/>
      <c r="N915" s="1050"/>
      <c r="O915" s="1050"/>
      <c r="P915" s="1050"/>
    </row>
    <row r="916" spans="3:16" x14ac:dyDescent="0.3">
      <c r="C916" s="1050"/>
      <c r="D916" s="1050"/>
      <c r="E916" s="1050"/>
      <c r="F916" s="1050"/>
      <c r="G916" s="1050"/>
      <c r="H916" s="1050"/>
      <c r="I916" s="1050"/>
      <c r="J916" s="1050"/>
      <c r="K916" s="1050"/>
      <c r="L916" s="1050"/>
      <c r="M916" s="1072"/>
      <c r="N916" s="1050"/>
      <c r="O916" s="1050"/>
      <c r="P916" s="1050"/>
    </row>
    <row r="917" spans="3:16" x14ac:dyDescent="0.3">
      <c r="C917" s="1050"/>
      <c r="D917" s="1050"/>
      <c r="E917" s="1050"/>
      <c r="F917" s="1050"/>
      <c r="G917" s="1050"/>
      <c r="H917" s="1050"/>
      <c r="I917" s="1050"/>
      <c r="J917" s="1050"/>
      <c r="K917" s="1050"/>
      <c r="L917" s="1050"/>
      <c r="M917" s="1072"/>
      <c r="N917" s="1050"/>
      <c r="O917" s="1050"/>
      <c r="P917" s="1050"/>
    </row>
    <row r="918" spans="3:16" x14ac:dyDescent="0.3">
      <c r="C918" s="1050"/>
      <c r="D918" s="1050"/>
      <c r="E918" s="1050"/>
      <c r="F918" s="1050"/>
      <c r="G918" s="1050"/>
      <c r="H918" s="1050"/>
      <c r="I918" s="1050"/>
      <c r="J918" s="1050"/>
      <c r="K918" s="1050"/>
      <c r="L918" s="1050"/>
      <c r="M918" s="1072"/>
      <c r="N918" s="1050"/>
      <c r="O918" s="1050"/>
      <c r="P918" s="1050"/>
    </row>
    <row r="919" spans="3:16" x14ac:dyDescent="0.3">
      <c r="C919" s="1050"/>
      <c r="D919" s="1050"/>
      <c r="E919" s="1050"/>
      <c r="F919" s="1050"/>
      <c r="G919" s="1050"/>
      <c r="H919" s="1050"/>
      <c r="I919" s="1050"/>
      <c r="J919" s="1050"/>
      <c r="K919" s="1050"/>
      <c r="L919" s="1050"/>
      <c r="M919" s="1072"/>
      <c r="N919" s="1050"/>
      <c r="O919" s="1050"/>
      <c r="P919" s="1050"/>
    </row>
    <row r="920" spans="3:16" x14ac:dyDescent="0.3">
      <c r="C920" s="1050"/>
      <c r="D920" s="1050"/>
      <c r="E920" s="1050"/>
      <c r="F920" s="1050"/>
      <c r="G920" s="1050"/>
      <c r="H920" s="1050"/>
      <c r="I920" s="1050"/>
      <c r="J920" s="1050"/>
      <c r="K920" s="1050"/>
      <c r="L920" s="1050"/>
      <c r="M920" s="1072"/>
      <c r="N920" s="1050"/>
      <c r="O920" s="1050"/>
      <c r="P920" s="1050"/>
    </row>
    <row r="921" spans="3:16" x14ac:dyDescent="0.3">
      <c r="C921" s="1050"/>
      <c r="D921" s="1050"/>
      <c r="E921" s="1050"/>
      <c r="F921" s="1050"/>
      <c r="G921" s="1050"/>
      <c r="H921" s="1050"/>
      <c r="I921" s="1050"/>
      <c r="J921" s="1050"/>
      <c r="K921" s="1050"/>
      <c r="L921" s="1050"/>
      <c r="M921" s="1072"/>
      <c r="N921" s="1050"/>
      <c r="O921" s="1050"/>
      <c r="P921" s="1050"/>
    </row>
    <row r="922" spans="3:16" x14ac:dyDescent="0.3">
      <c r="C922" s="1050"/>
      <c r="D922" s="1050"/>
      <c r="E922" s="1050"/>
      <c r="F922" s="1050"/>
      <c r="G922" s="1050"/>
      <c r="H922" s="1050"/>
      <c r="I922" s="1050"/>
      <c r="J922" s="1050"/>
      <c r="K922" s="1050"/>
      <c r="L922" s="1050"/>
      <c r="M922" s="1072"/>
      <c r="N922" s="1050"/>
      <c r="O922" s="1050"/>
      <c r="P922" s="1050"/>
    </row>
    <row r="923" spans="3:16" x14ac:dyDescent="0.3">
      <c r="C923" s="1050"/>
      <c r="D923" s="1050"/>
      <c r="E923" s="1050"/>
      <c r="F923" s="1050"/>
      <c r="G923" s="1050"/>
      <c r="H923" s="1050"/>
      <c r="I923" s="1050"/>
      <c r="J923" s="1050"/>
      <c r="K923" s="1050"/>
      <c r="L923" s="1050"/>
      <c r="M923" s="1072"/>
      <c r="N923" s="1050"/>
      <c r="O923" s="1050"/>
      <c r="P923" s="1050"/>
    </row>
    <row r="924" spans="3:16" x14ac:dyDescent="0.3">
      <c r="C924" s="1050"/>
      <c r="D924" s="1050"/>
      <c r="E924" s="1050"/>
      <c r="F924" s="1050"/>
      <c r="G924" s="1050"/>
      <c r="H924" s="1050"/>
      <c r="I924" s="1050"/>
      <c r="J924" s="1050"/>
      <c r="K924" s="1050"/>
      <c r="L924" s="1050"/>
      <c r="M924" s="1072"/>
      <c r="N924" s="1050"/>
      <c r="O924" s="1050"/>
      <c r="P924" s="1050"/>
    </row>
    <row r="925" spans="3:16" x14ac:dyDescent="0.3">
      <c r="C925" s="1050"/>
      <c r="D925" s="1050"/>
      <c r="E925" s="1050"/>
      <c r="F925" s="1050"/>
      <c r="G925" s="1050"/>
      <c r="H925" s="1050"/>
      <c r="I925" s="1050"/>
      <c r="J925" s="1050"/>
      <c r="K925" s="1050"/>
      <c r="L925" s="1050"/>
      <c r="M925" s="1072"/>
      <c r="N925" s="1050"/>
      <c r="O925" s="1050"/>
      <c r="P925" s="1050"/>
    </row>
    <row r="926" spans="3:16" x14ac:dyDescent="0.3">
      <c r="C926" s="1050"/>
      <c r="D926" s="1050"/>
      <c r="E926" s="1050"/>
      <c r="F926" s="1050"/>
      <c r="G926" s="1050"/>
      <c r="H926" s="1050"/>
      <c r="I926" s="1050"/>
      <c r="J926" s="1050"/>
      <c r="K926" s="1050"/>
      <c r="L926" s="1050"/>
      <c r="M926" s="1072"/>
      <c r="N926" s="1050"/>
      <c r="O926" s="1050"/>
      <c r="P926" s="1050"/>
    </row>
    <row r="927" spans="3:16" x14ac:dyDescent="0.3">
      <c r="C927" s="1050"/>
      <c r="D927" s="1050"/>
      <c r="E927" s="1050"/>
      <c r="F927" s="1050"/>
      <c r="G927" s="1050"/>
      <c r="H927" s="1050"/>
      <c r="I927" s="1050"/>
      <c r="J927" s="1050"/>
      <c r="K927" s="1050"/>
      <c r="L927" s="1050"/>
      <c r="M927" s="1072"/>
      <c r="N927" s="1050"/>
      <c r="O927" s="1050"/>
      <c r="P927" s="1050"/>
    </row>
    <row r="928" spans="3:16" x14ac:dyDescent="0.3">
      <c r="C928" s="1050"/>
      <c r="D928" s="1050"/>
      <c r="E928" s="1050"/>
      <c r="F928" s="1050"/>
      <c r="G928" s="1050"/>
      <c r="H928" s="1050"/>
      <c r="I928" s="1050"/>
      <c r="J928" s="1050"/>
      <c r="K928" s="1050"/>
      <c r="L928" s="1050"/>
      <c r="M928" s="1072"/>
      <c r="N928" s="1050"/>
      <c r="O928" s="1050"/>
      <c r="P928" s="1050"/>
    </row>
    <row r="929" spans="3:16" x14ac:dyDescent="0.3">
      <c r="C929" s="1050"/>
      <c r="D929" s="1050"/>
      <c r="E929" s="1050"/>
      <c r="F929" s="1050"/>
      <c r="G929" s="1050"/>
      <c r="H929" s="1050"/>
      <c r="I929" s="1050"/>
      <c r="J929" s="1050"/>
      <c r="K929" s="1050"/>
      <c r="L929" s="1050"/>
      <c r="M929" s="1072"/>
      <c r="N929" s="1050"/>
      <c r="O929" s="1050"/>
      <c r="P929" s="1050"/>
    </row>
    <row r="930" spans="3:16" x14ac:dyDescent="0.3">
      <c r="C930" s="1050"/>
      <c r="D930" s="1050"/>
      <c r="E930" s="1050"/>
      <c r="F930" s="1050"/>
      <c r="G930" s="1050"/>
      <c r="H930" s="1050"/>
      <c r="I930" s="1050"/>
      <c r="J930" s="1050"/>
      <c r="K930" s="1050"/>
      <c r="L930" s="1050"/>
      <c r="M930" s="1072"/>
      <c r="N930" s="1050"/>
      <c r="O930" s="1050"/>
      <c r="P930" s="1050"/>
    </row>
    <row r="931" spans="3:16" x14ac:dyDescent="0.3">
      <c r="C931" s="1050"/>
      <c r="D931" s="1050"/>
      <c r="E931" s="1050"/>
      <c r="F931" s="1050"/>
      <c r="G931" s="1050"/>
      <c r="H931" s="1050"/>
      <c r="I931" s="1050"/>
      <c r="J931" s="1050"/>
      <c r="K931" s="1050"/>
      <c r="L931" s="1050"/>
      <c r="M931" s="1072"/>
      <c r="N931" s="1050"/>
      <c r="O931" s="1050"/>
      <c r="P931" s="1050"/>
    </row>
    <row r="932" spans="3:16" x14ac:dyDescent="0.3">
      <c r="C932" s="1050"/>
      <c r="D932" s="1050"/>
      <c r="E932" s="1050"/>
      <c r="F932" s="1050"/>
      <c r="G932" s="1050"/>
      <c r="H932" s="1050"/>
      <c r="I932" s="1050"/>
      <c r="J932" s="1050"/>
      <c r="K932" s="1050"/>
      <c r="L932" s="1050"/>
      <c r="M932" s="1072"/>
      <c r="N932" s="1050"/>
      <c r="O932" s="1050"/>
      <c r="P932" s="1050"/>
    </row>
    <row r="933" spans="3:16" x14ac:dyDescent="0.3">
      <c r="C933" s="1050"/>
      <c r="D933" s="1050"/>
      <c r="E933" s="1050"/>
      <c r="F933" s="1050"/>
      <c r="G933" s="1050"/>
      <c r="H933" s="1050"/>
      <c r="I933" s="1050"/>
      <c r="J933" s="1050"/>
      <c r="K933" s="1050"/>
      <c r="L933" s="1050"/>
      <c r="M933" s="1072"/>
      <c r="N933" s="1050"/>
      <c r="O933" s="1050"/>
      <c r="P933" s="1050"/>
    </row>
    <row r="934" spans="3:16" x14ac:dyDescent="0.3">
      <c r="C934" s="1050"/>
      <c r="D934" s="1050"/>
      <c r="E934" s="1050"/>
      <c r="F934" s="1050"/>
      <c r="G934" s="1050"/>
      <c r="H934" s="1050"/>
      <c r="I934" s="1050"/>
      <c r="J934" s="1050"/>
      <c r="K934" s="1050"/>
      <c r="L934" s="1050"/>
      <c r="M934" s="1072"/>
      <c r="N934" s="1050"/>
      <c r="O934" s="1050"/>
      <c r="P934" s="1050"/>
    </row>
    <row r="935" spans="3:16" x14ac:dyDescent="0.3">
      <c r="C935" s="1050"/>
      <c r="D935" s="1050"/>
      <c r="E935" s="1050"/>
      <c r="F935" s="1050"/>
      <c r="G935" s="1050"/>
      <c r="H935" s="1050"/>
      <c r="I935" s="1050"/>
      <c r="J935" s="1050"/>
      <c r="K935" s="1050"/>
      <c r="L935" s="1050"/>
      <c r="M935" s="1072"/>
      <c r="N935" s="1050"/>
      <c r="O935" s="1050"/>
      <c r="P935" s="1050"/>
    </row>
    <row r="936" spans="3:16" x14ac:dyDescent="0.3">
      <c r="C936" s="1050"/>
      <c r="D936" s="1050"/>
      <c r="E936" s="1050"/>
      <c r="F936" s="1050"/>
      <c r="G936" s="1050"/>
      <c r="H936" s="1050"/>
      <c r="I936" s="1050"/>
      <c r="J936" s="1050"/>
      <c r="K936" s="1050"/>
      <c r="L936" s="1050"/>
      <c r="M936" s="1072"/>
      <c r="N936" s="1050"/>
      <c r="O936" s="1050"/>
      <c r="P936" s="1050"/>
    </row>
    <row r="937" spans="3:16" x14ac:dyDescent="0.3">
      <c r="C937" s="1050"/>
      <c r="D937" s="1050"/>
      <c r="E937" s="1050"/>
      <c r="F937" s="1050"/>
      <c r="G937" s="1050"/>
      <c r="H937" s="1050"/>
      <c r="I937" s="1050"/>
      <c r="J937" s="1050"/>
      <c r="K937" s="1050"/>
      <c r="L937" s="1050"/>
      <c r="M937" s="1072"/>
      <c r="N937" s="1050"/>
      <c r="O937" s="1050"/>
      <c r="P937" s="1050"/>
    </row>
    <row r="938" spans="3:16" x14ac:dyDescent="0.3">
      <c r="C938" s="1050"/>
      <c r="D938" s="1050"/>
      <c r="E938" s="1050"/>
      <c r="F938" s="1050"/>
      <c r="G938" s="1050"/>
      <c r="H938" s="1050"/>
      <c r="I938" s="1050"/>
      <c r="J938" s="1050"/>
      <c r="K938" s="1050"/>
      <c r="L938" s="1050"/>
      <c r="M938" s="1072"/>
      <c r="N938" s="1050"/>
      <c r="O938" s="1050"/>
      <c r="P938" s="1050"/>
    </row>
    <row r="939" spans="3:16" x14ac:dyDescent="0.3">
      <c r="C939" s="1050"/>
      <c r="D939" s="1050"/>
      <c r="E939" s="1050"/>
      <c r="F939" s="1050"/>
      <c r="G939" s="1050"/>
      <c r="H939" s="1050"/>
      <c r="I939" s="1050"/>
      <c r="J939" s="1050"/>
      <c r="K939" s="1050"/>
      <c r="L939" s="1050"/>
      <c r="M939" s="1072"/>
      <c r="N939" s="1050"/>
      <c r="O939" s="1050"/>
      <c r="P939" s="1050"/>
    </row>
    <row r="940" spans="3:16" x14ac:dyDescent="0.3">
      <c r="C940" s="1050"/>
      <c r="D940" s="1050"/>
      <c r="E940" s="1050"/>
      <c r="F940" s="1050"/>
      <c r="G940" s="1050"/>
      <c r="H940" s="1050"/>
      <c r="I940" s="1050"/>
      <c r="J940" s="1050"/>
      <c r="K940" s="1050"/>
      <c r="L940" s="1050"/>
      <c r="M940" s="1072"/>
      <c r="N940" s="1050"/>
      <c r="O940" s="1050"/>
      <c r="P940" s="1050"/>
    </row>
    <row r="941" spans="3:16" x14ac:dyDescent="0.3">
      <c r="C941" s="1050"/>
      <c r="D941" s="1050"/>
      <c r="E941" s="1050"/>
      <c r="F941" s="1050"/>
      <c r="G941" s="1050"/>
      <c r="H941" s="1050"/>
      <c r="I941" s="1050"/>
      <c r="J941" s="1050"/>
      <c r="K941" s="1050"/>
      <c r="L941" s="1050"/>
      <c r="M941" s="1072"/>
      <c r="N941" s="1050"/>
      <c r="O941" s="1050"/>
      <c r="P941" s="1050"/>
    </row>
    <row r="942" spans="3:16" x14ac:dyDescent="0.3">
      <c r="C942" s="1050"/>
      <c r="D942" s="1050"/>
      <c r="E942" s="1050"/>
      <c r="F942" s="1050"/>
      <c r="G942" s="1050"/>
      <c r="H942" s="1050"/>
      <c r="I942" s="1050"/>
      <c r="J942" s="1050"/>
      <c r="K942" s="1050"/>
      <c r="L942" s="1050"/>
      <c r="M942" s="1072"/>
      <c r="N942" s="1050"/>
      <c r="O942" s="1050"/>
      <c r="P942" s="1050"/>
    </row>
    <row r="943" spans="3:16" x14ac:dyDescent="0.3">
      <c r="C943" s="1050"/>
      <c r="D943" s="1050"/>
      <c r="E943" s="1050"/>
      <c r="F943" s="1050"/>
      <c r="G943" s="1050"/>
      <c r="H943" s="1050"/>
      <c r="I943" s="1050"/>
      <c r="J943" s="1050"/>
      <c r="K943" s="1050"/>
      <c r="L943" s="1050"/>
      <c r="M943" s="1072"/>
      <c r="N943" s="1050"/>
      <c r="O943" s="1050"/>
      <c r="P943" s="1050"/>
    </row>
    <row r="944" spans="3:16" x14ac:dyDescent="0.3">
      <c r="C944" s="1050"/>
      <c r="D944" s="1050"/>
      <c r="E944" s="1050"/>
      <c r="F944" s="1050"/>
      <c r="G944" s="1050"/>
      <c r="H944" s="1050"/>
      <c r="I944" s="1050"/>
      <c r="J944" s="1050"/>
      <c r="K944" s="1050"/>
      <c r="L944" s="1050"/>
      <c r="M944" s="1072"/>
      <c r="N944" s="1050"/>
      <c r="O944" s="1050"/>
      <c r="P944" s="1050"/>
    </row>
    <row r="945" spans="3:16" x14ac:dyDescent="0.3">
      <c r="C945" s="1050"/>
      <c r="D945" s="1050"/>
      <c r="E945" s="1050"/>
      <c r="F945" s="1050"/>
      <c r="G945" s="1050"/>
      <c r="H945" s="1050"/>
      <c r="I945" s="1050"/>
      <c r="J945" s="1050"/>
      <c r="K945" s="1050"/>
      <c r="L945" s="1050"/>
      <c r="M945" s="1072"/>
      <c r="N945" s="1050"/>
      <c r="O945" s="1050"/>
      <c r="P945" s="1050"/>
    </row>
    <row r="946" spans="3:16" x14ac:dyDescent="0.3">
      <c r="C946" s="1050"/>
      <c r="D946" s="1050"/>
      <c r="E946" s="1050"/>
      <c r="F946" s="1050"/>
      <c r="G946" s="1050"/>
      <c r="H946" s="1050"/>
      <c r="I946" s="1050"/>
      <c r="J946" s="1050"/>
      <c r="K946" s="1050"/>
      <c r="L946" s="1050"/>
      <c r="M946" s="1072"/>
      <c r="N946" s="1050"/>
      <c r="O946" s="1050"/>
      <c r="P946" s="1050"/>
    </row>
    <row r="947" spans="3:16" x14ac:dyDescent="0.3">
      <c r="C947" s="1050"/>
      <c r="D947" s="1050"/>
      <c r="E947" s="1050"/>
      <c r="F947" s="1050"/>
      <c r="G947" s="1050"/>
      <c r="H947" s="1050"/>
      <c r="I947" s="1050"/>
      <c r="J947" s="1050"/>
      <c r="K947" s="1050"/>
      <c r="L947" s="1050"/>
      <c r="M947" s="1072"/>
      <c r="N947" s="1050"/>
      <c r="O947" s="1050"/>
      <c r="P947" s="1050"/>
    </row>
    <row r="948" spans="3:16" x14ac:dyDescent="0.3">
      <c r="C948" s="1050"/>
      <c r="D948" s="1050"/>
      <c r="E948" s="1050"/>
      <c r="F948" s="1050"/>
      <c r="G948" s="1050"/>
      <c r="H948" s="1050"/>
      <c r="I948" s="1050"/>
      <c r="J948" s="1050"/>
      <c r="K948" s="1050"/>
      <c r="L948" s="1050"/>
      <c r="M948" s="1072"/>
      <c r="N948" s="1050"/>
      <c r="O948" s="1050"/>
      <c r="P948" s="1050"/>
    </row>
    <row r="949" spans="3:16" x14ac:dyDescent="0.3">
      <c r="C949" s="1050"/>
      <c r="D949" s="1050"/>
      <c r="E949" s="1050"/>
      <c r="F949" s="1050"/>
      <c r="G949" s="1050"/>
      <c r="H949" s="1050"/>
      <c r="I949" s="1050"/>
      <c r="J949" s="1050"/>
      <c r="K949" s="1050"/>
      <c r="L949" s="1050"/>
      <c r="M949" s="1072"/>
      <c r="N949" s="1050"/>
      <c r="O949" s="1050"/>
      <c r="P949" s="1050"/>
    </row>
    <row r="950" spans="3:16" x14ac:dyDescent="0.3">
      <c r="C950" s="1050"/>
      <c r="D950" s="1050"/>
      <c r="E950" s="1050"/>
      <c r="F950" s="1050"/>
      <c r="G950" s="1050"/>
      <c r="H950" s="1050"/>
      <c r="I950" s="1050"/>
      <c r="J950" s="1050"/>
      <c r="K950" s="1050"/>
      <c r="L950" s="1050"/>
      <c r="M950" s="1072"/>
      <c r="N950" s="1050"/>
      <c r="O950" s="1050"/>
      <c r="P950" s="1050"/>
    </row>
    <row r="951" spans="3:16" x14ac:dyDescent="0.3">
      <c r="C951" s="1050"/>
      <c r="D951" s="1050"/>
      <c r="E951" s="1050"/>
      <c r="F951" s="1050"/>
      <c r="G951" s="1050"/>
      <c r="H951" s="1050"/>
      <c r="I951" s="1050"/>
      <c r="J951" s="1050"/>
      <c r="K951" s="1050"/>
      <c r="L951" s="1050"/>
      <c r="M951" s="1072"/>
      <c r="N951" s="1050"/>
      <c r="O951" s="1050"/>
      <c r="P951" s="1050"/>
    </row>
    <row r="952" spans="3:16" x14ac:dyDescent="0.3">
      <c r="C952" s="1050"/>
      <c r="D952" s="1050"/>
      <c r="E952" s="1050"/>
      <c r="F952" s="1050"/>
      <c r="G952" s="1050"/>
      <c r="H952" s="1050"/>
      <c r="I952" s="1050"/>
      <c r="J952" s="1050"/>
      <c r="K952" s="1050"/>
      <c r="L952" s="1050"/>
      <c r="M952" s="1072"/>
      <c r="N952" s="1050"/>
      <c r="O952" s="1050"/>
      <c r="P952" s="1050"/>
    </row>
    <row r="953" spans="3:16" x14ac:dyDescent="0.3">
      <c r="C953" s="1050"/>
      <c r="D953" s="1050"/>
      <c r="E953" s="1050"/>
      <c r="F953" s="1050"/>
      <c r="G953" s="1050"/>
      <c r="H953" s="1050"/>
      <c r="I953" s="1050"/>
      <c r="J953" s="1050"/>
      <c r="K953" s="1050"/>
      <c r="L953" s="1050"/>
      <c r="M953" s="1072"/>
      <c r="N953" s="1050"/>
      <c r="O953" s="1050"/>
      <c r="P953" s="1050"/>
    </row>
    <row r="954" spans="3:16" x14ac:dyDescent="0.3">
      <c r="C954" s="1050"/>
      <c r="D954" s="1050"/>
      <c r="E954" s="1050"/>
      <c r="F954" s="1050"/>
      <c r="G954" s="1050"/>
      <c r="H954" s="1050"/>
      <c r="I954" s="1050"/>
      <c r="J954" s="1050"/>
      <c r="K954" s="1050"/>
      <c r="L954" s="1050"/>
      <c r="M954" s="1072"/>
      <c r="N954" s="1050"/>
      <c r="O954" s="1050"/>
      <c r="P954" s="1050"/>
    </row>
    <row r="955" spans="3:16" x14ac:dyDescent="0.3">
      <c r="C955" s="1050"/>
      <c r="D955" s="1050"/>
      <c r="E955" s="1050"/>
      <c r="F955" s="1050"/>
      <c r="G955" s="1050"/>
      <c r="H955" s="1050"/>
      <c r="I955" s="1050"/>
      <c r="J955" s="1050"/>
      <c r="K955" s="1050"/>
      <c r="L955" s="1050"/>
      <c r="M955" s="1072"/>
      <c r="N955" s="1050"/>
      <c r="O955" s="1050"/>
      <c r="P955" s="1050"/>
    </row>
    <row r="956" spans="3:16" x14ac:dyDescent="0.3">
      <c r="C956" s="1050"/>
      <c r="D956" s="1050"/>
      <c r="E956" s="1050"/>
      <c r="F956" s="1050"/>
      <c r="G956" s="1050"/>
      <c r="H956" s="1050"/>
      <c r="I956" s="1050"/>
      <c r="J956" s="1050"/>
      <c r="K956" s="1050"/>
      <c r="L956" s="1050"/>
      <c r="M956" s="1072"/>
      <c r="N956" s="1050"/>
      <c r="O956" s="1050"/>
      <c r="P956" s="1050"/>
    </row>
    <row r="957" spans="3:16" x14ac:dyDescent="0.3">
      <c r="C957" s="1050"/>
      <c r="D957" s="1050"/>
      <c r="E957" s="1050"/>
      <c r="F957" s="1050"/>
      <c r="G957" s="1050"/>
      <c r="H957" s="1050"/>
      <c r="I957" s="1050"/>
      <c r="J957" s="1050"/>
      <c r="K957" s="1050"/>
      <c r="L957" s="1050"/>
      <c r="M957" s="1072"/>
      <c r="N957" s="1050"/>
      <c r="O957" s="1050"/>
      <c r="P957" s="1050"/>
    </row>
    <row r="958" spans="3:16" x14ac:dyDescent="0.3">
      <c r="C958" s="1050"/>
      <c r="D958" s="1050"/>
      <c r="E958" s="1050"/>
      <c r="F958" s="1050"/>
      <c r="G958" s="1050"/>
      <c r="H958" s="1050"/>
      <c r="I958" s="1050"/>
      <c r="J958" s="1050"/>
      <c r="K958" s="1050"/>
      <c r="L958" s="1050"/>
      <c r="M958" s="1072"/>
      <c r="N958" s="1050"/>
      <c r="O958" s="1050"/>
      <c r="P958" s="1050"/>
    </row>
    <row r="959" spans="3:16" x14ac:dyDescent="0.3">
      <c r="C959" s="1050"/>
      <c r="D959" s="1050"/>
      <c r="E959" s="1050"/>
      <c r="F959" s="1050"/>
      <c r="G959" s="1050"/>
      <c r="H959" s="1050"/>
      <c r="I959" s="1050"/>
      <c r="J959" s="1050"/>
      <c r="K959" s="1050"/>
      <c r="L959" s="1050"/>
      <c r="M959" s="1072"/>
      <c r="N959" s="1050"/>
      <c r="O959" s="1050"/>
      <c r="P959" s="1050"/>
    </row>
    <row r="960" spans="3:16" x14ac:dyDescent="0.3">
      <c r="C960" s="1050"/>
      <c r="D960" s="1050"/>
      <c r="E960" s="1050"/>
      <c r="F960" s="1050"/>
      <c r="G960" s="1050"/>
      <c r="H960" s="1050"/>
      <c r="I960" s="1050"/>
      <c r="J960" s="1050"/>
      <c r="K960" s="1050"/>
      <c r="L960" s="1050"/>
      <c r="M960" s="1072"/>
      <c r="N960" s="1050"/>
      <c r="O960" s="1050"/>
      <c r="P960" s="1050"/>
    </row>
    <row r="961" spans="3:16" x14ac:dyDescent="0.3">
      <c r="C961" s="1050"/>
      <c r="D961" s="1050"/>
      <c r="E961" s="1050"/>
      <c r="F961" s="1050"/>
      <c r="G961" s="1050"/>
      <c r="H961" s="1050"/>
      <c r="I961" s="1050"/>
      <c r="J961" s="1050"/>
      <c r="K961" s="1050"/>
      <c r="L961" s="1050"/>
      <c r="M961" s="1072"/>
      <c r="N961" s="1050"/>
      <c r="O961" s="1050"/>
      <c r="P961" s="1050"/>
    </row>
    <row r="962" spans="3:16" x14ac:dyDescent="0.3">
      <c r="C962" s="1050"/>
      <c r="D962" s="1050"/>
      <c r="E962" s="1050"/>
      <c r="F962" s="1050"/>
      <c r="G962" s="1050"/>
      <c r="H962" s="1050"/>
      <c r="I962" s="1050"/>
      <c r="J962" s="1050"/>
      <c r="K962" s="1050"/>
      <c r="L962" s="1050"/>
      <c r="M962" s="1072"/>
      <c r="N962" s="1050"/>
      <c r="O962" s="1050"/>
      <c r="P962" s="1050"/>
    </row>
    <row r="963" spans="3:16" x14ac:dyDescent="0.3">
      <c r="C963" s="1050"/>
      <c r="D963" s="1050"/>
      <c r="E963" s="1050"/>
      <c r="F963" s="1050"/>
      <c r="G963" s="1050"/>
      <c r="H963" s="1050"/>
      <c r="I963" s="1050"/>
      <c r="J963" s="1050"/>
      <c r="K963" s="1050"/>
      <c r="L963" s="1050"/>
      <c r="M963" s="1072"/>
      <c r="N963" s="1050"/>
      <c r="O963" s="1050"/>
      <c r="P963" s="1050"/>
    </row>
    <row r="964" spans="3:16" x14ac:dyDescent="0.3">
      <c r="C964" s="1050"/>
      <c r="D964" s="1050"/>
      <c r="E964" s="1050"/>
      <c r="F964" s="1050"/>
      <c r="G964" s="1050"/>
      <c r="H964" s="1050"/>
      <c r="I964" s="1050"/>
      <c r="J964" s="1050"/>
      <c r="K964" s="1050"/>
      <c r="L964" s="1050"/>
      <c r="M964" s="1072"/>
      <c r="N964" s="1050"/>
      <c r="O964" s="1050"/>
      <c r="P964" s="1050"/>
    </row>
    <row r="965" spans="3:16" x14ac:dyDescent="0.3">
      <c r="C965" s="1050"/>
      <c r="D965" s="1050"/>
      <c r="E965" s="1050"/>
      <c r="F965" s="1050"/>
      <c r="G965" s="1050"/>
      <c r="H965" s="1050"/>
      <c r="I965" s="1050"/>
      <c r="J965" s="1050"/>
      <c r="K965" s="1050"/>
      <c r="L965" s="1050"/>
      <c r="M965" s="1072"/>
      <c r="N965" s="1050"/>
      <c r="O965" s="1050"/>
      <c r="P965" s="1050"/>
    </row>
    <row r="966" spans="3:16" x14ac:dyDescent="0.3">
      <c r="C966" s="1050"/>
      <c r="D966" s="1050"/>
      <c r="E966" s="1050"/>
      <c r="F966" s="1050"/>
      <c r="G966" s="1050"/>
      <c r="H966" s="1050"/>
      <c r="I966" s="1050"/>
      <c r="J966" s="1050"/>
      <c r="K966" s="1050"/>
      <c r="L966" s="1050"/>
      <c r="M966" s="1072"/>
      <c r="N966" s="1050"/>
      <c r="O966" s="1050"/>
      <c r="P966" s="1050"/>
    </row>
    <row r="967" spans="3:16" x14ac:dyDescent="0.3">
      <c r="C967" s="1050"/>
      <c r="D967" s="1050"/>
      <c r="E967" s="1050"/>
      <c r="F967" s="1050"/>
      <c r="G967" s="1050"/>
      <c r="H967" s="1050"/>
      <c r="I967" s="1050"/>
      <c r="J967" s="1050"/>
      <c r="K967" s="1050"/>
      <c r="L967" s="1050"/>
      <c r="M967" s="1072"/>
      <c r="N967" s="1050"/>
      <c r="O967" s="1050"/>
      <c r="P967" s="1050"/>
    </row>
    <row r="968" spans="3:16" x14ac:dyDescent="0.3">
      <c r="C968" s="1050"/>
      <c r="D968" s="1050"/>
      <c r="E968" s="1050"/>
      <c r="F968" s="1050"/>
      <c r="G968" s="1050"/>
      <c r="H968" s="1050"/>
      <c r="I968" s="1050"/>
      <c r="J968" s="1050"/>
      <c r="K968" s="1050"/>
      <c r="L968" s="1050"/>
      <c r="M968" s="1072"/>
      <c r="N968" s="1050"/>
      <c r="O968" s="1050"/>
      <c r="P968" s="1050"/>
    </row>
    <row r="969" spans="3:16" x14ac:dyDescent="0.3">
      <c r="C969" s="1050"/>
      <c r="D969" s="1050"/>
      <c r="E969" s="1050"/>
      <c r="F969" s="1050"/>
      <c r="G969" s="1050"/>
      <c r="H969" s="1050"/>
      <c r="I969" s="1050"/>
      <c r="J969" s="1050"/>
      <c r="K969" s="1050"/>
      <c r="L969" s="1050"/>
      <c r="M969" s="1072"/>
      <c r="N969" s="1050"/>
      <c r="O969" s="1050"/>
      <c r="P969" s="1050"/>
    </row>
    <row r="970" spans="3:16" x14ac:dyDescent="0.3">
      <c r="C970" s="1050"/>
      <c r="D970" s="1050"/>
      <c r="E970" s="1050"/>
      <c r="F970" s="1050"/>
      <c r="G970" s="1050"/>
      <c r="H970" s="1050"/>
      <c r="I970" s="1050"/>
      <c r="J970" s="1050"/>
      <c r="K970" s="1050"/>
      <c r="L970" s="1050"/>
      <c r="M970" s="1072"/>
      <c r="N970" s="1050"/>
      <c r="O970" s="1050"/>
      <c r="P970" s="1050"/>
    </row>
    <row r="971" spans="3:16" x14ac:dyDescent="0.3">
      <c r="C971" s="1050"/>
      <c r="D971" s="1050"/>
      <c r="E971" s="1050"/>
      <c r="F971" s="1050"/>
      <c r="G971" s="1050"/>
      <c r="H971" s="1050"/>
      <c r="I971" s="1050"/>
      <c r="J971" s="1050"/>
      <c r="K971" s="1050"/>
      <c r="L971" s="1050"/>
      <c r="M971" s="1072"/>
      <c r="N971" s="1050"/>
      <c r="O971" s="1050"/>
      <c r="P971" s="1050"/>
    </row>
    <row r="972" spans="3:16" x14ac:dyDescent="0.3">
      <c r="C972" s="1050"/>
      <c r="D972" s="1050"/>
      <c r="E972" s="1050"/>
      <c r="F972" s="1050"/>
      <c r="G972" s="1050"/>
      <c r="H972" s="1050"/>
      <c r="I972" s="1050"/>
      <c r="J972" s="1050"/>
      <c r="K972" s="1050"/>
      <c r="L972" s="1050"/>
      <c r="M972" s="1072"/>
      <c r="N972" s="1050"/>
      <c r="O972" s="1050"/>
      <c r="P972" s="1050"/>
    </row>
    <row r="973" spans="3:16" x14ac:dyDescent="0.3">
      <c r="C973" s="1050"/>
      <c r="D973" s="1050"/>
      <c r="E973" s="1050"/>
      <c r="F973" s="1050"/>
      <c r="G973" s="1050"/>
      <c r="H973" s="1050"/>
      <c r="I973" s="1050"/>
      <c r="J973" s="1050"/>
      <c r="K973" s="1050"/>
      <c r="L973" s="1050"/>
      <c r="M973" s="1072"/>
      <c r="N973" s="1050"/>
      <c r="O973" s="1050"/>
      <c r="P973" s="1050"/>
    </row>
    <row r="974" spans="3:16" x14ac:dyDescent="0.3">
      <c r="C974" s="1050"/>
      <c r="D974" s="1050"/>
      <c r="E974" s="1050"/>
      <c r="F974" s="1050"/>
      <c r="G974" s="1050"/>
      <c r="H974" s="1050"/>
      <c r="I974" s="1050"/>
      <c r="J974" s="1050"/>
      <c r="K974" s="1050"/>
      <c r="L974" s="1050"/>
      <c r="M974" s="1072"/>
      <c r="N974" s="1050"/>
      <c r="O974" s="1050"/>
      <c r="P974" s="1050"/>
    </row>
    <row r="975" spans="3:16" x14ac:dyDescent="0.3">
      <c r="C975" s="1050"/>
      <c r="D975" s="1050"/>
      <c r="E975" s="1050"/>
      <c r="F975" s="1050"/>
      <c r="G975" s="1050"/>
      <c r="H975" s="1050"/>
      <c r="I975" s="1050"/>
      <c r="J975" s="1050"/>
      <c r="K975" s="1050"/>
      <c r="L975" s="1050"/>
      <c r="M975" s="1072"/>
      <c r="N975" s="1050"/>
      <c r="O975" s="1050"/>
      <c r="P975" s="1050"/>
    </row>
    <row r="976" spans="3:16" x14ac:dyDescent="0.3">
      <c r="C976" s="1050"/>
      <c r="D976" s="1050"/>
      <c r="E976" s="1050"/>
      <c r="F976" s="1050"/>
      <c r="G976" s="1050"/>
      <c r="H976" s="1050"/>
      <c r="I976" s="1050"/>
      <c r="J976" s="1050"/>
      <c r="K976" s="1050"/>
      <c r="L976" s="1050"/>
      <c r="M976" s="1072"/>
      <c r="N976" s="1050"/>
      <c r="O976" s="1050"/>
      <c r="P976" s="1050"/>
    </row>
    <row r="977" spans="3:16" x14ac:dyDescent="0.3">
      <c r="C977" s="1050"/>
      <c r="D977" s="1050"/>
      <c r="E977" s="1050"/>
      <c r="F977" s="1050"/>
      <c r="G977" s="1050"/>
      <c r="H977" s="1050"/>
      <c r="I977" s="1050"/>
      <c r="J977" s="1050"/>
      <c r="K977" s="1050"/>
      <c r="L977" s="1050"/>
      <c r="M977" s="1072"/>
      <c r="N977" s="1050"/>
      <c r="O977" s="1050"/>
      <c r="P977" s="1050"/>
    </row>
    <row r="978" spans="3:16" x14ac:dyDescent="0.3">
      <c r="C978" s="1050"/>
      <c r="D978" s="1050"/>
      <c r="E978" s="1050"/>
      <c r="F978" s="1050"/>
      <c r="G978" s="1050"/>
      <c r="H978" s="1050"/>
      <c r="I978" s="1050"/>
      <c r="J978" s="1050"/>
      <c r="K978" s="1050"/>
      <c r="L978" s="1050"/>
      <c r="M978" s="1072"/>
      <c r="N978" s="1050"/>
      <c r="O978" s="1050"/>
      <c r="P978" s="1050"/>
    </row>
    <row r="979" spans="3:16" x14ac:dyDescent="0.3">
      <c r="C979" s="1050"/>
      <c r="D979" s="1050"/>
      <c r="E979" s="1050"/>
      <c r="F979" s="1050"/>
      <c r="G979" s="1050"/>
      <c r="H979" s="1050"/>
      <c r="I979" s="1050"/>
      <c r="J979" s="1050"/>
      <c r="K979" s="1050"/>
      <c r="L979" s="1050"/>
      <c r="M979" s="1072"/>
      <c r="N979" s="1050"/>
      <c r="O979" s="1050"/>
      <c r="P979" s="1050"/>
    </row>
    <row r="980" spans="3:16" x14ac:dyDescent="0.3">
      <c r="C980" s="1050"/>
      <c r="D980" s="1050"/>
      <c r="E980" s="1050"/>
      <c r="F980" s="1050"/>
      <c r="G980" s="1050"/>
      <c r="H980" s="1050"/>
      <c r="I980" s="1050"/>
      <c r="J980" s="1050"/>
      <c r="K980" s="1050"/>
      <c r="L980" s="1050"/>
      <c r="M980" s="1072"/>
      <c r="N980" s="1050"/>
      <c r="O980" s="1050"/>
      <c r="P980" s="1050"/>
    </row>
    <row r="981" spans="3:16" x14ac:dyDescent="0.3">
      <c r="C981" s="1050"/>
      <c r="D981" s="1050"/>
      <c r="E981" s="1050"/>
      <c r="F981" s="1050"/>
      <c r="G981" s="1050"/>
      <c r="H981" s="1050"/>
      <c r="I981" s="1050"/>
      <c r="J981" s="1050"/>
      <c r="K981" s="1050"/>
      <c r="L981" s="1050"/>
      <c r="M981" s="1072"/>
      <c r="N981" s="1050"/>
      <c r="O981" s="1050"/>
      <c r="P981" s="1050"/>
    </row>
    <row r="982" spans="3:16" x14ac:dyDescent="0.3">
      <c r="C982" s="1050"/>
      <c r="D982" s="1050"/>
      <c r="E982" s="1050"/>
      <c r="F982" s="1050"/>
      <c r="G982" s="1050"/>
      <c r="H982" s="1050"/>
      <c r="I982" s="1050"/>
      <c r="J982" s="1050"/>
      <c r="K982" s="1050"/>
      <c r="L982" s="1050"/>
      <c r="M982" s="1072"/>
      <c r="N982" s="1050"/>
      <c r="O982" s="1050"/>
      <c r="P982" s="1050"/>
    </row>
    <row r="983" spans="3:16" x14ac:dyDescent="0.3">
      <c r="C983" s="1050"/>
      <c r="D983" s="1050"/>
      <c r="E983" s="1050"/>
      <c r="F983" s="1050"/>
      <c r="G983" s="1050"/>
      <c r="H983" s="1050"/>
      <c r="I983" s="1050"/>
      <c r="J983" s="1050"/>
      <c r="K983" s="1050"/>
      <c r="L983" s="1050"/>
      <c r="M983" s="1072"/>
      <c r="N983" s="1050"/>
      <c r="O983" s="1050"/>
      <c r="P983" s="1050"/>
    </row>
    <row r="984" spans="3:16" x14ac:dyDescent="0.3">
      <c r="C984" s="1050"/>
      <c r="D984" s="1050"/>
      <c r="E984" s="1050"/>
      <c r="F984" s="1050"/>
      <c r="G984" s="1050"/>
      <c r="H984" s="1050"/>
      <c r="I984" s="1050"/>
      <c r="J984" s="1050"/>
      <c r="K984" s="1050"/>
      <c r="L984" s="1050"/>
      <c r="M984" s="1072"/>
      <c r="N984" s="1050"/>
      <c r="O984" s="1050"/>
      <c r="P984" s="1050"/>
    </row>
    <row r="985" spans="3:16" x14ac:dyDescent="0.3">
      <c r="C985" s="1050"/>
      <c r="D985" s="1050"/>
      <c r="E985" s="1050"/>
      <c r="F985" s="1050"/>
      <c r="G985" s="1050"/>
      <c r="H985" s="1050"/>
      <c r="I985" s="1050"/>
      <c r="J985" s="1050"/>
      <c r="K985" s="1050"/>
      <c r="L985" s="1050"/>
      <c r="M985" s="1072"/>
      <c r="N985" s="1050"/>
      <c r="O985" s="1050"/>
      <c r="P985" s="1050"/>
    </row>
    <row r="986" spans="3:16" x14ac:dyDescent="0.3">
      <c r="C986" s="1050"/>
      <c r="D986" s="1050"/>
      <c r="E986" s="1050"/>
      <c r="F986" s="1050"/>
      <c r="G986" s="1050"/>
      <c r="H986" s="1050"/>
      <c r="I986" s="1050"/>
      <c r="J986" s="1050"/>
      <c r="K986" s="1050"/>
      <c r="L986" s="1050"/>
      <c r="M986" s="1072"/>
      <c r="N986" s="1050"/>
      <c r="O986" s="1050"/>
      <c r="P986" s="1050"/>
    </row>
    <row r="987" spans="3:16" x14ac:dyDescent="0.3">
      <c r="C987" s="1050"/>
      <c r="D987" s="1050"/>
      <c r="E987" s="1050"/>
      <c r="F987" s="1050"/>
      <c r="G987" s="1050"/>
      <c r="H987" s="1050"/>
      <c r="I987" s="1050"/>
      <c r="J987" s="1050"/>
      <c r="K987" s="1050"/>
      <c r="L987" s="1050"/>
      <c r="M987" s="1072"/>
      <c r="N987" s="1050"/>
      <c r="O987" s="1050"/>
      <c r="P987" s="1050"/>
    </row>
    <row r="988" spans="3:16" x14ac:dyDescent="0.3">
      <c r="C988" s="1050"/>
      <c r="D988" s="1050"/>
      <c r="E988" s="1050"/>
      <c r="F988" s="1050"/>
      <c r="G988" s="1050"/>
      <c r="H988" s="1050"/>
      <c r="I988" s="1050"/>
      <c r="J988" s="1050"/>
      <c r="K988" s="1050"/>
      <c r="L988" s="1050"/>
      <c r="M988" s="1072"/>
      <c r="N988" s="1050"/>
      <c r="O988" s="1050"/>
      <c r="P988" s="1050"/>
    </row>
    <row r="989" spans="3:16" x14ac:dyDescent="0.3">
      <c r="C989" s="1050"/>
      <c r="D989" s="1050"/>
      <c r="E989" s="1050"/>
      <c r="F989" s="1050"/>
      <c r="G989" s="1050"/>
      <c r="H989" s="1050"/>
      <c r="I989" s="1050"/>
      <c r="J989" s="1050"/>
      <c r="K989" s="1050"/>
      <c r="L989" s="1050"/>
      <c r="M989" s="1072"/>
      <c r="N989" s="1050"/>
      <c r="O989" s="1050"/>
      <c r="P989" s="1050"/>
    </row>
    <row r="990" spans="3:16" x14ac:dyDescent="0.3">
      <c r="C990" s="1050"/>
      <c r="D990" s="1050"/>
      <c r="E990" s="1050"/>
      <c r="F990" s="1050"/>
      <c r="G990" s="1050"/>
      <c r="H990" s="1050"/>
      <c r="I990" s="1050"/>
      <c r="J990" s="1050"/>
      <c r="K990" s="1050"/>
      <c r="L990" s="1050"/>
      <c r="M990" s="1072"/>
      <c r="N990" s="1050"/>
      <c r="O990" s="1050"/>
      <c r="P990" s="1050"/>
    </row>
    <row r="991" spans="3:16" x14ac:dyDescent="0.3">
      <c r="C991" s="1050"/>
      <c r="D991" s="1050"/>
      <c r="E991" s="1050"/>
      <c r="F991" s="1050"/>
      <c r="G991" s="1050"/>
      <c r="H991" s="1050"/>
      <c r="I991" s="1050"/>
      <c r="J991" s="1050"/>
      <c r="K991" s="1050"/>
      <c r="L991" s="1050"/>
      <c r="M991" s="1072"/>
      <c r="N991" s="1050"/>
      <c r="O991" s="1050"/>
      <c r="P991" s="1050"/>
    </row>
    <row r="992" spans="3:16" x14ac:dyDescent="0.3">
      <c r="C992" s="1050"/>
      <c r="D992" s="1050"/>
      <c r="E992" s="1050"/>
      <c r="F992" s="1050"/>
      <c r="G992" s="1050"/>
      <c r="H992" s="1050"/>
      <c r="I992" s="1050"/>
      <c r="J992" s="1050"/>
      <c r="K992" s="1050"/>
      <c r="L992" s="1050"/>
      <c r="M992" s="1072"/>
      <c r="N992" s="1050"/>
      <c r="O992" s="1050"/>
      <c r="P992" s="1050"/>
    </row>
    <row r="993" spans="3:16" x14ac:dyDescent="0.3">
      <c r="C993" s="1050"/>
      <c r="D993" s="1050"/>
      <c r="E993" s="1050"/>
      <c r="F993" s="1050"/>
      <c r="G993" s="1050"/>
      <c r="H993" s="1050"/>
      <c r="I993" s="1050"/>
      <c r="J993" s="1050"/>
      <c r="K993" s="1050"/>
      <c r="L993" s="1050"/>
      <c r="M993" s="1072"/>
      <c r="N993" s="1050"/>
      <c r="O993" s="1050"/>
      <c r="P993" s="1050"/>
    </row>
    <row r="994" spans="3:16" x14ac:dyDescent="0.3">
      <c r="C994" s="1050"/>
      <c r="D994" s="1050"/>
      <c r="E994" s="1050"/>
      <c r="F994" s="1050"/>
      <c r="G994" s="1050"/>
      <c r="H994" s="1050"/>
      <c r="I994" s="1050"/>
      <c r="J994" s="1050"/>
      <c r="K994" s="1050"/>
      <c r="L994" s="1050"/>
      <c r="M994" s="1072"/>
      <c r="N994" s="1050"/>
      <c r="O994" s="1050"/>
      <c r="P994" s="1050"/>
    </row>
    <row r="995" spans="3:16" x14ac:dyDescent="0.3">
      <c r="C995" s="1050"/>
      <c r="D995" s="1050"/>
      <c r="E995" s="1050"/>
      <c r="F995" s="1050"/>
      <c r="G995" s="1050"/>
      <c r="H995" s="1050"/>
      <c r="I995" s="1050"/>
      <c r="J995" s="1050"/>
      <c r="K995" s="1050"/>
      <c r="L995" s="1050"/>
      <c r="M995" s="1072"/>
      <c r="N995" s="1050"/>
      <c r="O995" s="1050"/>
      <c r="P995" s="1050"/>
    </row>
    <row r="996" spans="3:16" x14ac:dyDescent="0.3">
      <c r="C996" s="1050"/>
      <c r="D996" s="1050"/>
      <c r="E996" s="1050"/>
      <c r="F996" s="1050"/>
      <c r="G996" s="1050"/>
      <c r="H996" s="1050"/>
      <c r="I996" s="1050"/>
      <c r="J996" s="1050"/>
      <c r="K996" s="1050"/>
      <c r="L996" s="1050"/>
      <c r="M996" s="1072"/>
      <c r="N996" s="1050"/>
      <c r="O996" s="1050"/>
      <c r="P996" s="1050"/>
    </row>
    <row r="997" spans="3:16" x14ac:dyDescent="0.3">
      <c r="C997" s="1050"/>
      <c r="D997" s="1050"/>
      <c r="E997" s="1050"/>
      <c r="F997" s="1050"/>
      <c r="G997" s="1050"/>
      <c r="H997" s="1050"/>
      <c r="I997" s="1050"/>
      <c r="J997" s="1050"/>
      <c r="K997" s="1050"/>
      <c r="L997" s="1050"/>
      <c r="M997" s="1072"/>
      <c r="N997" s="1050"/>
      <c r="O997" s="1050"/>
      <c r="P997" s="1050"/>
    </row>
    <row r="998" spans="3:16" x14ac:dyDescent="0.3">
      <c r="C998" s="1050"/>
      <c r="D998" s="1050"/>
      <c r="E998" s="1050"/>
      <c r="F998" s="1050"/>
      <c r="G998" s="1050"/>
      <c r="H998" s="1050"/>
      <c r="I998" s="1050"/>
      <c r="J998" s="1050"/>
      <c r="K998" s="1050"/>
      <c r="L998" s="1050"/>
      <c r="M998" s="1072"/>
      <c r="N998" s="1050"/>
      <c r="O998" s="1050"/>
      <c r="P998" s="1050"/>
    </row>
    <row r="999" spans="3:16" x14ac:dyDescent="0.3">
      <c r="C999" s="1050"/>
      <c r="D999" s="1050"/>
      <c r="E999" s="1050"/>
      <c r="F999" s="1050"/>
      <c r="G999" s="1050"/>
      <c r="H999" s="1050"/>
      <c r="I999" s="1050"/>
      <c r="J999" s="1050"/>
      <c r="K999" s="1050"/>
      <c r="L999" s="1050"/>
      <c r="M999" s="1072"/>
      <c r="N999" s="1050"/>
      <c r="O999" s="1050"/>
      <c r="P999" s="1050"/>
    </row>
    <row r="1000" spans="3:16" x14ac:dyDescent="0.3">
      <c r="C1000" s="1050"/>
      <c r="D1000" s="1050"/>
      <c r="E1000" s="1050"/>
      <c r="F1000" s="1050"/>
      <c r="G1000" s="1050"/>
      <c r="H1000" s="1050"/>
      <c r="I1000" s="1050"/>
      <c r="J1000" s="1050"/>
      <c r="K1000" s="1050"/>
      <c r="L1000" s="1050"/>
      <c r="M1000" s="1072"/>
      <c r="N1000" s="1050"/>
      <c r="O1000" s="1050"/>
      <c r="P1000" s="1050"/>
    </row>
    <row r="1001" spans="3:16" x14ac:dyDescent="0.3">
      <c r="C1001" s="1050"/>
      <c r="D1001" s="1050"/>
      <c r="E1001" s="1050"/>
      <c r="F1001" s="1050"/>
      <c r="G1001" s="1050"/>
      <c r="H1001" s="1050"/>
      <c r="I1001" s="1050"/>
      <c r="J1001" s="1050"/>
      <c r="K1001" s="1050"/>
      <c r="L1001" s="1050"/>
      <c r="M1001" s="1072"/>
      <c r="N1001" s="1050"/>
      <c r="O1001" s="1050"/>
      <c r="P1001" s="1050"/>
    </row>
    <row r="1002" spans="3:16" x14ac:dyDescent="0.3">
      <c r="C1002" s="1050"/>
      <c r="D1002" s="1050"/>
      <c r="E1002" s="1050"/>
      <c r="F1002" s="1050"/>
      <c r="G1002" s="1050"/>
      <c r="H1002" s="1050"/>
      <c r="I1002" s="1050"/>
      <c r="J1002" s="1050"/>
      <c r="K1002" s="1050"/>
      <c r="L1002" s="1050"/>
      <c r="M1002" s="1072"/>
      <c r="N1002" s="1050"/>
      <c r="O1002" s="1050"/>
      <c r="P1002" s="1050"/>
    </row>
    <row r="1003" spans="3:16" x14ac:dyDescent="0.3">
      <c r="C1003" s="1050"/>
      <c r="D1003" s="1050"/>
      <c r="E1003" s="1050"/>
      <c r="F1003" s="1050"/>
      <c r="G1003" s="1050"/>
      <c r="H1003" s="1050"/>
      <c r="I1003" s="1050"/>
      <c r="J1003" s="1050"/>
      <c r="K1003" s="1050"/>
      <c r="L1003" s="1050"/>
      <c r="M1003" s="1072"/>
      <c r="N1003" s="1050"/>
      <c r="O1003" s="1050"/>
      <c r="P1003" s="1050"/>
    </row>
    <row r="1004" spans="3:16" x14ac:dyDescent="0.3">
      <c r="C1004" s="1050"/>
      <c r="D1004" s="1050"/>
      <c r="E1004" s="1050"/>
      <c r="F1004" s="1050"/>
      <c r="G1004" s="1050"/>
      <c r="H1004" s="1050"/>
      <c r="I1004" s="1050"/>
      <c r="J1004" s="1050"/>
      <c r="K1004" s="1050"/>
      <c r="L1004" s="1050"/>
      <c r="M1004" s="1072"/>
      <c r="N1004" s="1050"/>
      <c r="O1004" s="1050"/>
      <c r="P1004" s="1050"/>
    </row>
    <row r="1005" spans="3:16" x14ac:dyDescent="0.3">
      <c r="C1005" s="1050"/>
      <c r="D1005" s="1050"/>
      <c r="E1005" s="1050"/>
      <c r="F1005" s="1050"/>
      <c r="G1005" s="1050"/>
      <c r="H1005" s="1050"/>
      <c r="I1005" s="1050"/>
      <c r="J1005" s="1050"/>
      <c r="K1005" s="1050"/>
      <c r="L1005" s="1050"/>
      <c r="M1005" s="1072"/>
      <c r="N1005" s="1050"/>
      <c r="O1005" s="1050"/>
      <c r="P1005" s="1050"/>
    </row>
    <row r="1006" spans="3:16" x14ac:dyDescent="0.3">
      <c r="C1006" s="1050"/>
      <c r="D1006" s="1050"/>
      <c r="E1006" s="1050"/>
      <c r="F1006" s="1050"/>
      <c r="G1006" s="1050"/>
      <c r="H1006" s="1050"/>
      <c r="I1006" s="1050"/>
      <c r="J1006" s="1050"/>
      <c r="K1006" s="1050"/>
      <c r="L1006" s="1050"/>
      <c r="M1006" s="1072"/>
      <c r="N1006" s="1050"/>
      <c r="O1006" s="1050"/>
      <c r="P1006" s="1050"/>
    </row>
    <row r="1007" spans="3:16" x14ac:dyDescent="0.3">
      <c r="C1007" s="1050"/>
      <c r="D1007" s="1050"/>
      <c r="E1007" s="1050"/>
      <c r="F1007" s="1050"/>
      <c r="G1007" s="1050"/>
      <c r="H1007" s="1050"/>
      <c r="I1007" s="1050"/>
      <c r="J1007" s="1050"/>
      <c r="K1007" s="1050"/>
      <c r="L1007" s="1050"/>
      <c r="M1007" s="1072"/>
      <c r="N1007" s="1050"/>
      <c r="O1007" s="1050"/>
      <c r="P1007" s="1050"/>
    </row>
    <row r="1008" spans="3:16" x14ac:dyDescent="0.3">
      <c r="C1008" s="1050"/>
      <c r="D1008" s="1050"/>
      <c r="E1008" s="1050"/>
      <c r="F1008" s="1050"/>
      <c r="G1008" s="1050"/>
      <c r="H1008" s="1050"/>
      <c r="I1008" s="1050"/>
      <c r="J1008" s="1050"/>
      <c r="K1008" s="1050"/>
      <c r="L1008" s="1050"/>
      <c r="M1008" s="1072"/>
      <c r="N1008" s="1050"/>
      <c r="O1008" s="1050"/>
      <c r="P1008" s="1050"/>
    </row>
    <row r="1009" spans="3:16" x14ac:dyDescent="0.3">
      <c r="C1009" s="1050"/>
      <c r="D1009" s="1050"/>
      <c r="E1009" s="1050"/>
      <c r="F1009" s="1050"/>
      <c r="G1009" s="1050"/>
      <c r="H1009" s="1050"/>
      <c r="I1009" s="1050"/>
      <c r="J1009" s="1050"/>
      <c r="K1009" s="1050"/>
      <c r="L1009" s="1050"/>
      <c r="M1009" s="1072"/>
      <c r="N1009" s="1050"/>
      <c r="O1009" s="1050"/>
      <c r="P1009" s="1050"/>
    </row>
    <row r="1010" spans="3:16" x14ac:dyDescent="0.3">
      <c r="C1010" s="1050"/>
      <c r="D1010" s="1050"/>
      <c r="E1010" s="1050"/>
      <c r="F1010" s="1050"/>
      <c r="G1010" s="1050"/>
      <c r="H1010" s="1050"/>
      <c r="I1010" s="1050"/>
      <c r="J1010" s="1050"/>
      <c r="K1010" s="1050"/>
      <c r="L1010" s="1050"/>
      <c r="M1010" s="1072"/>
      <c r="N1010" s="1050"/>
      <c r="O1010" s="1050"/>
      <c r="P1010" s="1050"/>
    </row>
    <row r="1011" spans="3:16" x14ac:dyDescent="0.3">
      <c r="C1011" s="1050"/>
      <c r="D1011" s="1050"/>
      <c r="E1011" s="1050"/>
      <c r="F1011" s="1050"/>
      <c r="G1011" s="1050"/>
      <c r="H1011" s="1050"/>
      <c r="I1011" s="1050"/>
      <c r="J1011" s="1050"/>
      <c r="K1011" s="1050"/>
      <c r="L1011" s="1050"/>
      <c r="M1011" s="1072"/>
      <c r="N1011" s="1050"/>
      <c r="O1011" s="1050"/>
      <c r="P1011" s="1050"/>
    </row>
    <row r="1012" spans="3:16" x14ac:dyDescent="0.3">
      <c r="C1012" s="1050"/>
      <c r="D1012" s="1050"/>
      <c r="E1012" s="1050"/>
      <c r="F1012" s="1050"/>
      <c r="G1012" s="1050"/>
      <c r="H1012" s="1050"/>
      <c r="I1012" s="1050"/>
      <c r="J1012" s="1050"/>
      <c r="K1012" s="1050"/>
      <c r="L1012" s="1050"/>
      <c r="M1012" s="1072"/>
      <c r="N1012" s="1050"/>
      <c r="O1012" s="1050"/>
      <c r="P1012" s="1050"/>
    </row>
    <row r="1013" spans="3:16" x14ac:dyDescent="0.3">
      <c r="C1013" s="1050"/>
      <c r="D1013" s="1050"/>
      <c r="E1013" s="1050"/>
      <c r="F1013" s="1050"/>
      <c r="G1013" s="1050"/>
      <c r="H1013" s="1050"/>
      <c r="I1013" s="1050"/>
      <c r="J1013" s="1050"/>
      <c r="K1013" s="1050"/>
      <c r="L1013" s="1050"/>
      <c r="M1013" s="1072"/>
      <c r="N1013" s="1050"/>
      <c r="O1013" s="1050"/>
      <c r="P1013" s="1050"/>
    </row>
    <row r="1014" spans="3:16" x14ac:dyDescent="0.3">
      <c r="C1014" s="1050"/>
      <c r="D1014" s="1050"/>
      <c r="E1014" s="1050"/>
      <c r="F1014" s="1050"/>
      <c r="G1014" s="1050"/>
      <c r="H1014" s="1050"/>
      <c r="I1014" s="1050"/>
      <c r="J1014" s="1050"/>
      <c r="K1014" s="1050"/>
      <c r="L1014" s="1050"/>
      <c r="M1014" s="1072"/>
      <c r="N1014" s="1050"/>
      <c r="O1014" s="1050"/>
      <c r="P1014" s="1050"/>
    </row>
    <row r="1015" spans="3:16" x14ac:dyDescent="0.3">
      <c r="C1015" s="1050"/>
      <c r="D1015" s="1050"/>
      <c r="E1015" s="1050"/>
      <c r="F1015" s="1050"/>
      <c r="G1015" s="1050"/>
      <c r="H1015" s="1050"/>
      <c r="I1015" s="1050"/>
      <c r="J1015" s="1050"/>
      <c r="K1015" s="1050"/>
      <c r="L1015" s="1050"/>
      <c r="M1015" s="1072"/>
      <c r="N1015" s="1050"/>
      <c r="O1015" s="1050"/>
      <c r="P1015" s="1050"/>
    </row>
    <row r="1016" spans="3:16" x14ac:dyDescent="0.3">
      <c r="C1016" s="1050"/>
      <c r="D1016" s="1050"/>
      <c r="E1016" s="1050"/>
      <c r="F1016" s="1050"/>
      <c r="G1016" s="1050"/>
      <c r="H1016" s="1050"/>
      <c r="I1016" s="1050"/>
      <c r="J1016" s="1050"/>
      <c r="K1016" s="1050"/>
      <c r="L1016" s="1050"/>
      <c r="M1016" s="1072"/>
      <c r="N1016" s="1050"/>
      <c r="O1016" s="1050"/>
      <c r="P1016" s="1050"/>
    </row>
    <row r="1017" spans="3:16" x14ac:dyDescent="0.3">
      <c r="C1017" s="1050"/>
      <c r="D1017" s="1050"/>
      <c r="E1017" s="1050"/>
      <c r="F1017" s="1050"/>
      <c r="G1017" s="1050"/>
      <c r="H1017" s="1050"/>
      <c r="I1017" s="1050"/>
      <c r="J1017" s="1050"/>
      <c r="K1017" s="1050"/>
      <c r="L1017" s="1050"/>
      <c r="M1017" s="1072"/>
      <c r="N1017" s="1050"/>
      <c r="O1017" s="1050"/>
      <c r="P1017" s="1050"/>
    </row>
    <row r="1018" spans="3:16" x14ac:dyDescent="0.3">
      <c r="C1018" s="1050"/>
      <c r="D1018" s="1050"/>
      <c r="E1018" s="1050"/>
      <c r="F1018" s="1050"/>
      <c r="G1018" s="1050"/>
      <c r="H1018" s="1050"/>
      <c r="I1018" s="1050"/>
      <c r="J1018" s="1050"/>
      <c r="K1018" s="1050"/>
      <c r="L1018" s="1050"/>
      <c r="M1018" s="1072"/>
      <c r="N1018" s="1050"/>
      <c r="O1018" s="1050"/>
      <c r="P1018" s="1050"/>
    </row>
    <row r="1019" spans="3:16" x14ac:dyDescent="0.3">
      <c r="C1019" s="1050"/>
      <c r="D1019" s="1050"/>
      <c r="E1019" s="1050"/>
      <c r="F1019" s="1050"/>
      <c r="G1019" s="1050"/>
      <c r="H1019" s="1050"/>
      <c r="I1019" s="1050"/>
      <c r="J1019" s="1050"/>
      <c r="K1019" s="1050"/>
      <c r="L1019" s="1050"/>
      <c r="M1019" s="1072"/>
      <c r="N1019" s="1050"/>
      <c r="O1019" s="1050"/>
      <c r="P1019" s="1050"/>
    </row>
    <row r="1020" spans="3:16" x14ac:dyDescent="0.3">
      <c r="C1020" s="1050"/>
      <c r="D1020" s="1050"/>
      <c r="E1020" s="1050"/>
      <c r="F1020" s="1050"/>
      <c r="G1020" s="1050"/>
      <c r="H1020" s="1050"/>
      <c r="I1020" s="1050"/>
      <c r="J1020" s="1050"/>
      <c r="K1020" s="1050"/>
      <c r="L1020" s="1050"/>
      <c r="M1020" s="1072"/>
      <c r="N1020" s="1050"/>
      <c r="O1020" s="1050"/>
      <c r="P1020" s="1050"/>
    </row>
    <row r="1021" spans="3:16" x14ac:dyDescent="0.3">
      <c r="C1021" s="1050"/>
      <c r="D1021" s="1050"/>
      <c r="E1021" s="1050"/>
      <c r="F1021" s="1050"/>
      <c r="G1021" s="1050"/>
      <c r="H1021" s="1050"/>
      <c r="I1021" s="1050"/>
      <c r="J1021" s="1050"/>
      <c r="K1021" s="1050"/>
      <c r="L1021" s="1050"/>
      <c r="M1021" s="1072"/>
      <c r="N1021" s="1050"/>
      <c r="O1021" s="1050"/>
      <c r="P1021" s="1050"/>
    </row>
    <row r="1022" spans="3:16" x14ac:dyDescent="0.3">
      <c r="C1022" s="1050"/>
      <c r="D1022" s="1050"/>
      <c r="E1022" s="1050"/>
      <c r="F1022" s="1050"/>
      <c r="G1022" s="1050"/>
      <c r="H1022" s="1050"/>
      <c r="I1022" s="1050"/>
      <c r="J1022" s="1050"/>
      <c r="K1022" s="1050"/>
      <c r="L1022" s="1050"/>
      <c r="M1022" s="1072"/>
      <c r="N1022" s="1050"/>
      <c r="O1022" s="1050"/>
      <c r="P1022" s="1050"/>
    </row>
    <row r="1023" spans="3:16" x14ac:dyDescent="0.3">
      <c r="C1023" s="1050"/>
      <c r="D1023" s="1050"/>
      <c r="E1023" s="1050"/>
      <c r="F1023" s="1050"/>
      <c r="G1023" s="1050"/>
      <c r="H1023" s="1050"/>
      <c r="I1023" s="1050"/>
      <c r="J1023" s="1050"/>
      <c r="K1023" s="1050"/>
      <c r="L1023" s="1050"/>
      <c r="M1023" s="1072"/>
      <c r="N1023" s="1050"/>
      <c r="O1023" s="1050"/>
      <c r="P1023" s="1050"/>
    </row>
    <row r="1024" spans="3:16" x14ac:dyDescent="0.3">
      <c r="C1024" s="1050"/>
      <c r="D1024" s="1050"/>
      <c r="E1024" s="1050"/>
      <c r="F1024" s="1050"/>
      <c r="G1024" s="1050"/>
      <c r="H1024" s="1050"/>
      <c r="I1024" s="1050"/>
      <c r="J1024" s="1050"/>
      <c r="K1024" s="1050"/>
      <c r="L1024" s="1050"/>
      <c r="M1024" s="1072"/>
      <c r="N1024" s="1050"/>
      <c r="O1024" s="1050"/>
      <c r="P1024" s="1050"/>
    </row>
    <row r="1025" spans="3:16" x14ac:dyDescent="0.3">
      <c r="C1025" s="1050"/>
      <c r="D1025" s="1050"/>
      <c r="E1025" s="1050"/>
      <c r="F1025" s="1050"/>
      <c r="G1025" s="1050"/>
      <c r="H1025" s="1050"/>
      <c r="I1025" s="1050"/>
      <c r="J1025" s="1050"/>
      <c r="K1025" s="1050"/>
      <c r="L1025" s="1050"/>
      <c r="M1025" s="1072"/>
      <c r="N1025" s="1050"/>
      <c r="O1025" s="1050"/>
      <c r="P1025" s="1050"/>
    </row>
    <row r="1026" spans="3:16" x14ac:dyDescent="0.3">
      <c r="C1026" s="1050"/>
      <c r="D1026" s="1050"/>
      <c r="E1026" s="1050"/>
      <c r="F1026" s="1050"/>
      <c r="G1026" s="1050"/>
      <c r="H1026" s="1050"/>
      <c r="I1026" s="1050"/>
      <c r="J1026" s="1050"/>
      <c r="K1026" s="1050"/>
      <c r="L1026" s="1050"/>
      <c r="M1026" s="1072"/>
      <c r="N1026" s="1050"/>
      <c r="O1026" s="1050"/>
      <c r="P1026" s="1050"/>
    </row>
    <row r="1027" spans="3:16" x14ac:dyDescent="0.3">
      <c r="C1027" s="1050"/>
      <c r="D1027" s="1050"/>
      <c r="E1027" s="1050"/>
      <c r="F1027" s="1050"/>
      <c r="G1027" s="1050"/>
      <c r="H1027" s="1050"/>
      <c r="I1027" s="1050"/>
      <c r="J1027" s="1050"/>
      <c r="K1027" s="1050"/>
      <c r="L1027" s="1050"/>
      <c r="M1027" s="1072"/>
      <c r="N1027" s="1050"/>
      <c r="O1027" s="1050"/>
      <c r="P1027" s="1050"/>
    </row>
    <row r="1028" spans="3:16" x14ac:dyDescent="0.3">
      <c r="C1028" s="1050"/>
      <c r="D1028" s="1050"/>
      <c r="E1028" s="1050"/>
      <c r="F1028" s="1050"/>
      <c r="G1028" s="1050"/>
      <c r="H1028" s="1050"/>
      <c r="I1028" s="1050"/>
      <c r="J1028" s="1050"/>
      <c r="K1028" s="1050"/>
      <c r="L1028" s="1050"/>
      <c r="M1028" s="1072"/>
      <c r="N1028" s="1050"/>
      <c r="O1028" s="1050"/>
      <c r="P1028" s="1050"/>
    </row>
    <row r="1029" spans="3:16" x14ac:dyDescent="0.3">
      <c r="C1029" s="1050"/>
      <c r="D1029" s="1050"/>
      <c r="E1029" s="1050"/>
      <c r="F1029" s="1050"/>
      <c r="G1029" s="1050"/>
      <c r="H1029" s="1050"/>
      <c r="I1029" s="1050"/>
      <c r="J1029" s="1050"/>
      <c r="K1029" s="1050"/>
      <c r="L1029" s="1050"/>
      <c r="M1029" s="1072"/>
      <c r="N1029" s="1050"/>
      <c r="O1029" s="1050"/>
      <c r="P1029" s="1050"/>
    </row>
    <row r="1030" spans="3:16" x14ac:dyDescent="0.3">
      <c r="C1030" s="1050"/>
      <c r="D1030" s="1050"/>
      <c r="E1030" s="1050"/>
      <c r="F1030" s="1050"/>
      <c r="G1030" s="1050"/>
      <c r="H1030" s="1050"/>
      <c r="I1030" s="1050"/>
      <c r="J1030" s="1050"/>
      <c r="K1030" s="1050"/>
      <c r="L1030" s="1050"/>
      <c r="M1030" s="1072"/>
      <c r="N1030" s="1050"/>
      <c r="O1030" s="1050"/>
      <c r="P1030" s="1050"/>
    </row>
    <row r="1031" spans="3:16" x14ac:dyDescent="0.3">
      <c r="C1031" s="1050"/>
      <c r="D1031" s="1050"/>
      <c r="E1031" s="1050"/>
      <c r="F1031" s="1050"/>
      <c r="G1031" s="1050"/>
      <c r="H1031" s="1050"/>
      <c r="I1031" s="1050"/>
      <c r="J1031" s="1050"/>
      <c r="K1031" s="1050"/>
      <c r="L1031" s="1050"/>
      <c r="M1031" s="1072"/>
      <c r="N1031" s="1050"/>
      <c r="O1031" s="1050"/>
      <c r="P1031" s="1050"/>
    </row>
    <row r="1032" spans="3:16" x14ac:dyDescent="0.3">
      <c r="C1032" s="1050"/>
      <c r="D1032" s="1050"/>
      <c r="E1032" s="1050"/>
      <c r="F1032" s="1050"/>
      <c r="G1032" s="1050"/>
      <c r="H1032" s="1050"/>
      <c r="I1032" s="1050"/>
      <c r="J1032" s="1050"/>
      <c r="K1032" s="1050"/>
      <c r="L1032" s="1050"/>
      <c r="M1032" s="1072"/>
      <c r="N1032" s="1050"/>
      <c r="O1032" s="1050"/>
      <c r="P1032" s="1050"/>
    </row>
    <row r="1033" spans="3:16" x14ac:dyDescent="0.3">
      <c r="C1033" s="1050"/>
      <c r="D1033" s="1050"/>
      <c r="E1033" s="1050"/>
      <c r="F1033" s="1050"/>
      <c r="G1033" s="1050"/>
      <c r="H1033" s="1050"/>
      <c r="I1033" s="1050"/>
      <c r="J1033" s="1050"/>
      <c r="K1033" s="1050"/>
      <c r="L1033" s="1050"/>
      <c r="M1033" s="1072"/>
      <c r="N1033" s="1050"/>
      <c r="O1033" s="1050"/>
      <c r="P1033" s="1050"/>
    </row>
    <row r="1034" spans="3:16" x14ac:dyDescent="0.3">
      <c r="C1034" s="1050"/>
      <c r="D1034" s="1050"/>
      <c r="E1034" s="1050"/>
      <c r="F1034" s="1050"/>
      <c r="G1034" s="1050"/>
      <c r="H1034" s="1050"/>
      <c r="I1034" s="1050"/>
      <c r="J1034" s="1050"/>
      <c r="K1034" s="1050"/>
      <c r="L1034" s="1050"/>
      <c r="M1034" s="1072"/>
      <c r="N1034" s="1050"/>
      <c r="O1034" s="1050"/>
      <c r="P1034" s="1050"/>
    </row>
    <row r="1035" spans="3:16" x14ac:dyDescent="0.3">
      <c r="C1035" s="1050"/>
      <c r="D1035" s="1050"/>
      <c r="E1035" s="1050"/>
      <c r="F1035" s="1050"/>
      <c r="G1035" s="1050"/>
      <c r="H1035" s="1050"/>
      <c r="I1035" s="1050"/>
      <c r="J1035" s="1050"/>
      <c r="K1035" s="1050"/>
      <c r="L1035" s="1050"/>
      <c r="M1035" s="1072"/>
      <c r="N1035" s="1050"/>
      <c r="O1035" s="1050"/>
      <c r="P1035" s="1050"/>
    </row>
    <row r="1036" spans="3:16" x14ac:dyDescent="0.3">
      <c r="C1036" s="1050"/>
      <c r="D1036" s="1050"/>
      <c r="E1036" s="1050"/>
      <c r="F1036" s="1050"/>
      <c r="G1036" s="1050"/>
      <c r="H1036" s="1050"/>
      <c r="I1036" s="1050"/>
      <c r="J1036" s="1050"/>
      <c r="K1036" s="1050"/>
      <c r="L1036" s="1050"/>
      <c r="M1036" s="1072"/>
      <c r="N1036" s="1050"/>
      <c r="O1036" s="1050"/>
      <c r="P1036" s="1050"/>
    </row>
    <row r="1037" spans="3:16" x14ac:dyDescent="0.3">
      <c r="C1037" s="1050"/>
      <c r="D1037" s="1050"/>
      <c r="E1037" s="1050"/>
      <c r="F1037" s="1050"/>
      <c r="G1037" s="1050"/>
      <c r="H1037" s="1050"/>
      <c r="I1037" s="1050"/>
      <c r="J1037" s="1050"/>
      <c r="K1037" s="1050"/>
      <c r="L1037" s="1050"/>
      <c r="M1037" s="1072"/>
      <c r="N1037" s="1050"/>
      <c r="O1037" s="1050"/>
      <c r="P1037" s="1050"/>
    </row>
    <row r="1038" spans="3:16" x14ac:dyDescent="0.3">
      <c r="C1038" s="1050"/>
      <c r="D1038" s="1050"/>
      <c r="E1038" s="1050"/>
      <c r="F1038" s="1050"/>
      <c r="G1038" s="1050"/>
      <c r="H1038" s="1050"/>
      <c r="I1038" s="1050"/>
      <c r="J1038" s="1050"/>
      <c r="K1038" s="1050"/>
      <c r="L1038" s="1050"/>
      <c r="M1038" s="1072"/>
      <c r="N1038" s="1050"/>
      <c r="O1038" s="1050"/>
      <c r="P1038" s="1050"/>
    </row>
    <row r="1039" spans="3:16" x14ac:dyDescent="0.3">
      <c r="C1039" s="1050"/>
      <c r="D1039" s="1050"/>
      <c r="E1039" s="1050"/>
      <c r="F1039" s="1050"/>
      <c r="G1039" s="1050"/>
      <c r="H1039" s="1050"/>
      <c r="I1039" s="1050"/>
      <c r="J1039" s="1050"/>
      <c r="K1039" s="1050"/>
      <c r="L1039" s="1050"/>
      <c r="M1039" s="1072"/>
      <c r="N1039" s="1050"/>
      <c r="O1039" s="1050"/>
      <c r="P1039" s="1050"/>
    </row>
    <row r="1040" spans="3:16" x14ac:dyDescent="0.3">
      <c r="C1040" s="1050"/>
      <c r="D1040" s="1050"/>
      <c r="E1040" s="1050"/>
      <c r="F1040" s="1050"/>
      <c r="G1040" s="1050"/>
      <c r="H1040" s="1050"/>
      <c r="I1040" s="1050"/>
      <c r="J1040" s="1050"/>
      <c r="K1040" s="1050"/>
      <c r="L1040" s="1050"/>
      <c r="M1040" s="1072"/>
      <c r="N1040" s="1050"/>
      <c r="O1040" s="1050"/>
      <c r="P1040" s="1050"/>
    </row>
    <row r="1041" spans="3:16" x14ac:dyDescent="0.3">
      <c r="C1041" s="1050"/>
      <c r="D1041" s="1050"/>
      <c r="E1041" s="1050"/>
      <c r="F1041" s="1050"/>
      <c r="G1041" s="1050"/>
      <c r="H1041" s="1050"/>
      <c r="I1041" s="1050"/>
      <c r="J1041" s="1050"/>
      <c r="K1041" s="1050"/>
      <c r="L1041" s="1050"/>
      <c r="M1041" s="1072"/>
      <c r="N1041" s="1050"/>
      <c r="O1041" s="1050"/>
      <c r="P1041" s="1050"/>
    </row>
    <row r="1042" spans="3:16" x14ac:dyDescent="0.3">
      <c r="C1042" s="1050"/>
      <c r="D1042" s="1050"/>
      <c r="E1042" s="1050"/>
      <c r="F1042" s="1050"/>
      <c r="G1042" s="1050"/>
      <c r="H1042" s="1050"/>
      <c r="I1042" s="1050"/>
      <c r="J1042" s="1050"/>
      <c r="K1042" s="1050"/>
      <c r="L1042" s="1050"/>
      <c r="M1042" s="1072"/>
      <c r="N1042" s="1050"/>
      <c r="O1042" s="1050"/>
      <c r="P1042" s="1050"/>
    </row>
    <row r="1043" spans="3:16" x14ac:dyDescent="0.3">
      <c r="C1043" s="1050"/>
      <c r="D1043" s="1050"/>
      <c r="E1043" s="1050"/>
      <c r="F1043" s="1050"/>
      <c r="G1043" s="1050"/>
      <c r="H1043" s="1050"/>
      <c r="I1043" s="1050"/>
      <c r="J1043" s="1050"/>
      <c r="K1043" s="1050"/>
      <c r="L1043" s="1050"/>
      <c r="M1043" s="1072"/>
      <c r="N1043" s="1050"/>
      <c r="O1043" s="1050"/>
      <c r="P1043" s="1050"/>
    </row>
    <row r="1044" spans="3:16" x14ac:dyDescent="0.3">
      <c r="C1044" s="1050"/>
      <c r="D1044" s="1050"/>
      <c r="E1044" s="1050"/>
      <c r="F1044" s="1050"/>
      <c r="G1044" s="1050"/>
      <c r="H1044" s="1050"/>
      <c r="I1044" s="1050"/>
      <c r="J1044" s="1050"/>
      <c r="K1044" s="1050"/>
      <c r="L1044" s="1050"/>
      <c r="M1044" s="1072"/>
      <c r="N1044" s="1050"/>
      <c r="O1044" s="1050"/>
      <c r="P1044" s="1050"/>
    </row>
    <row r="1045" spans="3:16" x14ac:dyDescent="0.3">
      <c r="C1045" s="1050"/>
      <c r="D1045" s="1050"/>
      <c r="E1045" s="1050"/>
      <c r="F1045" s="1050"/>
      <c r="G1045" s="1050"/>
      <c r="H1045" s="1050"/>
      <c r="I1045" s="1050"/>
      <c r="J1045" s="1050"/>
      <c r="K1045" s="1050"/>
      <c r="L1045" s="1050"/>
      <c r="M1045" s="1072"/>
      <c r="N1045" s="1050"/>
      <c r="O1045" s="1050"/>
      <c r="P1045" s="1050"/>
    </row>
    <row r="1046" spans="3:16" x14ac:dyDescent="0.3">
      <c r="C1046" s="1050"/>
      <c r="D1046" s="1050"/>
      <c r="E1046" s="1050"/>
      <c r="F1046" s="1050"/>
      <c r="G1046" s="1050"/>
      <c r="H1046" s="1050"/>
      <c r="I1046" s="1050"/>
      <c r="J1046" s="1050"/>
      <c r="K1046" s="1050"/>
      <c r="L1046" s="1050"/>
      <c r="M1046" s="1072"/>
      <c r="N1046" s="1050"/>
      <c r="O1046" s="1050"/>
      <c r="P1046" s="1050"/>
    </row>
    <row r="1047" spans="3:16" x14ac:dyDescent="0.3">
      <c r="C1047" s="1050"/>
      <c r="D1047" s="1050"/>
      <c r="E1047" s="1050"/>
      <c r="F1047" s="1050"/>
      <c r="G1047" s="1050"/>
      <c r="H1047" s="1050"/>
      <c r="I1047" s="1050"/>
      <c r="J1047" s="1050"/>
      <c r="K1047" s="1050"/>
      <c r="L1047" s="1050"/>
      <c r="M1047" s="1072"/>
      <c r="N1047" s="1050"/>
      <c r="O1047" s="1050"/>
      <c r="P1047" s="1050"/>
    </row>
    <row r="1048" spans="3:16" x14ac:dyDescent="0.3">
      <c r="C1048" s="1050"/>
      <c r="D1048" s="1050"/>
      <c r="E1048" s="1050"/>
      <c r="F1048" s="1050"/>
      <c r="G1048" s="1050"/>
      <c r="H1048" s="1050"/>
      <c r="I1048" s="1050"/>
      <c r="J1048" s="1050"/>
      <c r="K1048" s="1050"/>
      <c r="L1048" s="1050"/>
      <c r="M1048" s="1072"/>
      <c r="N1048" s="1050"/>
      <c r="O1048" s="1050"/>
      <c r="P1048" s="1050"/>
    </row>
    <row r="1049" spans="3:16" x14ac:dyDescent="0.3">
      <c r="C1049" s="1050"/>
      <c r="D1049" s="1050"/>
      <c r="E1049" s="1050"/>
      <c r="F1049" s="1050"/>
      <c r="G1049" s="1050"/>
      <c r="H1049" s="1050"/>
      <c r="I1049" s="1050"/>
      <c r="J1049" s="1050"/>
      <c r="K1049" s="1050"/>
      <c r="L1049" s="1050"/>
      <c r="M1049" s="1072"/>
      <c r="N1049" s="1050"/>
      <c r="O1049" s="1050"/>
      <c r="P1049" s="1050"/>
    </row>
    <row r="1050" spans="3:16" x14ac:dyDescent="0.3">
      <c r="C1050" s="1050"/>
      <c r="D1050" s="1050"/>
      <c r="E1050" s="1050"/>
      <c r="F1050" s="1050"/>
      <c r="G1050" s="1050"/>
      <c r="H1050" s="1050"/>
      <c r="I1050" s="1050"/>
      <c r="J1050" s="1050"/>
      <c r="K1050" s="1050"/>
      <c r="L1050" s="1050"/>
      <c r="M1050" s="1072"/>
      <c r="N1050" s="1050"/>
      <c r="O1050" s="1050"/>
      <c r="P1050" s="1050"/>
    </row>
    <row r="1051" spans="3:16" x14ac:dyDescent="0.3">
      <c r="C1051" s="1050"/>
      <c r="D1051" s="1050"/>
      <c r="E1051" s="1050"/>
      <c r="F1051" s="1050"/>
      <c r="G1051" s="1050"/>
      <c r="H1051" s="1050"/>
      <c r="I1051" s="1050"/>
      <c r="J1051" s="1050"/>
      <c r="K1051" s="1050"/>
      <c r="L1051" s="1050"/>
      <c r="M1051" s="1072"/>
      <c r="N1051" s="1050"/>
      <c r="O1051" s="1050"/>
      <c r="P1051" s="1050"/>
    </row>
    <row r="1052" spans="3:16" x14ac:dyDescent="0.3">
      <c r="C1052" s="1050"/>
      <c r="D1052" s="1050"/>
      <c r="E1052" s="1050"/>
      <c r="F1052" s="1050"/>
      <c r="G1052" s="1050"/>
      <c r="H1052" s="1050"/>
      <c r="I1052" s="1050"/>
      <c r="J1052" s="1050"/>
      <c r="K1052" s="1050"/>
      <c r="L1052" s="1050"/>
      <c r="M1052" s="1072"/>
      <c r="N1052" s="1050"/>
      <c r="O1052" s="1050"/>
      <c r="P1052" s="1050"/>
    </row>
    <row r="1053" spans="3:16" x14ac:dyDescent="0.3">
      <c r="C1053" s="1050"/>
      <c r="D1053" s="1050"/>
      <c r="E1053" s="1050"/>
      <c r="F1053" s="1050"/>
      <c r="G1053" s="1050"/>
      <c r="H1053" s="1050"/>
      <c r="I1053" s="1050"/>
      <c r="J1053" s="1050"/>
      <c r="K1053" s="1050"/>
      <c r="L1053" s="1050"/>
      <c r="M1053" s="1072"/>
      <c r="N1053" s="1050"/>
      <c r="O1053" s="1050"/>
      <c r="P1053" s="1050"/>
    </row>
    <row r="1054" spans="3:16" x14ac:dyDescent="0.3">
      <c r="C1054" s="1050"/>
      <c r="D1054" s="1050"/>
      <c r="E1054" s="1050"/>
      <c r="F1054" s="1050"/>
      <c r="G1054" s="1050"/>
      <c r="H1054" s="1050"/>
      <c r="I1054" s="1050"/>
      <c r="J1054" s="1050"/>
      <c r="K1054" s="1050"/>
      <c r="L1054" s="1050"/>
      <c r="M1054" s="1072"/>
      <c r="N1054" s="1050"/>
      <c r="O1054" s="1050"/>
      <c r="P1054" s="1050"/>
    </row>
    <row r="1055" spans="3:16" x14ac:dyDescent="0.3">
      <c r="C1055" s="1050"/>
      <c r="D1055" s="1050"/>
      <c r="E1055" s="1050"/>
      <c r="F1055" s="1050"/>
      <c r="G1055" s="1050"/>
      <c r="H1055" s="1050"/>
      <c r="I1055" s="1050"/>
      <c r="J1055" s="1050"/>
      <c r="K1055" s="1050"/>
      <c r="L1055" s="1050"/>
      <c r="M1055" s="1072"/>
      <c r="N1055" s="1050"/>
      <c r="O1055" s="1050"/>
      <c r="P1055" s="1050"/>
    </row>
    <row r="1056" spans="3:16" x14ac:dyDescent="0.3">
      <c r="C1056" s="1050"/>
      <c r="D1056" s="1050"/>
      <c r="E1056" s="1050"/>
      <c r="F1056" s="1050"/>
      <c r="G1056" s="1050"/>
      <c r="H1056" s="1050"/>
      <c r="I1056" s="1050"/>
      <c r="J1056" s="1050"/>
      <c r="K1056" s="1050"/>
      <c r="L1056" s="1050"/>
      <c r="M1056" s="1072"/>
      <c r="N1056" s="1050"/>
      <c r="O1056" s="1050"/>
      <c r="P1056" s="1050"/>
    </row>
    <row r="1057" spans="3:16" x14ac:dyDescent="0.3">
      <c r="C1057" s="1050"/>
      <c r="D1057" s="1050"/>
      <c r="E1057" s="1050"/>
      <c r="F1057" s="1050"/>
      <c r="G1057" s="1050"/>
      <c r="H1057" s="1050"/>
      <c r="I1057" s="1050"/>
      <c r="J1057" s="1050"/>
      <c r="K1057" s="1050"/>
      <c r="L1057" s="1050"/>
      <c r="M1057" s="1072"/>
      <c r="N1057" s="1050"/>
      <c r="O1057" s="1050"/>
      <c r="P1057" s="1050"/>
    </row>
    <row r="1058" spans="3:16" x14ac:dyDescent="0.3">
      <c r="C1058" s="1050"/>
      <c r="D1058" s="1050"/>
      <c r="E1058" s="1050"/>
      <c r="F1058" s="1050"/>
      <c r="G1058" s="1050"/>
      <c r="H1058" s="1050"/>
      <c r="I1058" s="1050"/>
      <c r="J1058" s="1050"/>
      <c r="K1058" s="1050"/>
      <c r="L1058" s="1050"/>
      <c r="M1058" s="1072"/>
      <c r="N1058" s="1050"/>
      <c r="O1058" s="1050"/>
      <c r="P1058" s="1050"/>
    </row>
    <row r="1059" spans="3:16" x14ac:dyDescent="0.3">
      <c r="C1059" s="1050"/>
      <c r="D1059" s="1050"/>
      <c r="E1059" s="1050"/>
      <c r="F1059" s="1050"/>
      <c r="G1059" s="1050"/>
      <c r="H1059" s="1050"/>
      <c r="I1059" s="1050"/>
      <c r="J1059" s="1050"/>
      <c r="K1059" s="1050"/>
      <c r="L1059" s="1050"/>
      <c r="M1059" s="1072"/>
      <c r="N1059" s="1050"/>
      <c r="O1059" s="1050"/>
      <c r="P1059" s="1050"/>
    </row>
    <row r="1060" spans="3:16" x14ac:dyDescent="0.3">
      <c r="C1060" s="1050"/>
      <c r="D1060" s="1050"/>
      <c r="E1060" s="1050"/>
      <c r="F1060" s="1050"/>
      <c r="G1060" s="1050"/>
      <c r="H1060" s="1050"/>
      <c r="I1060" s="1050"/>
      <c r="J1060" s="1050"/>
      <c r="K1060" s="1050"/>
      <c r="L1060" s="1050"/>
      <c r="M1060" s="1072"/>
      <c r="N1060" s="1050"/>
      <c r="O1060" s="1050"/>
      <c r="P1060" s="1050"/>
    </row>
    <row r="1061" spans="3:16" x14ac:dyDescent="0.3">
      <c r="C1061" s="1050"/>
      <c r="D1061" s="1050"/>
      <c r="E1061" s="1050"/>
      <c r="F1061" s="1050"/>
      <c r="G1061" s="1050"/>
      <c r="H1061" s="1050"/>
      <c r="I1061" s="1050"/>
      <c r="J1061" s="1050"/>
      <c r="K1061" s="1050"/>
      <c r="L1061" s="1050"/>
      <c r="M1061" s="1072"/>
      <c r="N1061" s="1050"/>
      <c r="O1061" s="1050"/>
      <c r="P1061" s="1050"/>
    </row>
    <row r="1062" spans="3:16" x14ac:dyDescent="0.3">
      <c r="C1062" s="1050"/>
      <c r="D1062" s="1050"/>
      <c r="E1062" s="1050"/>
      <c r="F1062" s="1050"/>
      <c r="G1062" s="1050"/>
      <c r="H1062" s="1050"/>
      <c r="I1062" s="1050"/>
      <c r="J1062" s="1050"/>
      <c r="K1062" s="1050"/>
      <c r="L1062" s="1050"/>
      <c r="M1062" s="1072"/>
      <c r="N1062" s="1050"/>
      <c r="O1062" s="1050"/>
      <c r="P1062" s="1050"/>
    </row>
    <row r="1063" spans="3:16" x14ac:dyDescent="0.3">
      <c r="C1063" s="1050"/>
      <c r="D1063" s="1050"/>
      <c r="E1063" s="1050"/>
      <c r="F1063" s="1050"/>
      <c r="G1063" s="1050"/>
      <c r="H1063" s="1050"/>
      <c r="I1063" s="1050"/>
      <c r="J1063" s="1050"/>
      <c r="K1063" s="1050"/>
      <c r="L1063" s="1050"/>
      <c r="M1063" s="1072"/>
      <c r="N1063" s="1050"/>
      <c r="O1063" s="1050"/>
      <c r="P1063" s="1050"/>
    </row>
    <row r="1064" spans="3:16" x14ac:dyDescent="0.3">
      <c r="C1064" s="1050"/>
      <c r="D1064" s="1050"/>
      <c r="E1064" s="1050"/>
      <c r="F1064" s="1050"/>
      <c r="G1064" s="1050"/>
      <c r="H1064" s="1050"/>
      <c r="I1064" s="1050"/>
      <c r="J1064" s="1050"/>
      <c r="K1064" s="1050"/>
      <c r="L1064" s="1050"/>
      <c r="M1064" s="1072"/>
      <c r="N1064" s="1050"/>
      <c r="O1064" s="1050"/>
      <c r="P1064" s="1050"/>
    </row>
    <row r="1065" spans="3:16" x14ac:dyDescent="0.3">
      <c r="C1065" s="1050"/>
      <c r="D1065" s="1050"/>
      <c r="E1065" s="1050"/>
      <c r="F1065" s="1050"/>
      <c r="G1065" s="1050"/>
      <c r="H1065" s="1050"/>
      <c r="I1065" s="1050"/>
      <c r="J1065" s="1050"/>
      <c r="K1065" s="1050"/>
      <c r="L1065" s="1050"/>
      <c r="M1065" s="1072"/>
      <c r="N1065" s="1050"/>
      <c r="O1065" s="1050"/>
      <c r="P1065" s="1050"/>
    </row>
    <row r="1066" spans="3:16" x14ac:dyDescent="0.3">
      <c r="C1066" s="1050"/>
      <c r="D1066" s="1050"/>
      <c r="E1066" s="1050"/>
      <c r="F1066" s="1050"/>
      <c r="G1066" s="1050"/>
      <c r="H1066" s="1050"/>
      <c r="I1066" s="1050"/>
      <c r="J1066" s="1050"/>
      <c r="K1066" s="1050"/>
      <c r="L1066" s="1050"/>
      <c r="M1066" s="1072"/>
      <c r="N1066" s="1050"/>
      <c r="O1066" s="1050"/>
      <c r="P1066" s="1050"/>
    </row>
    <row r="1067" spans="3:16" x14ac:dyDescent="0.3">
      <c r="C1067" s="1050"/>
      <c r="D1067" s="1050"/>
      <c r="E1067" s="1050"/>
      <c r="F1067" s="1050"/>
      <c r="G1067" s="1050"/>
      <c r="H1067" s="1050"/>
      <c r="I1067" s="1050"/>
      <c r="J1067" s="1050"/>
      <c r="K1067" s="1050"/>
      <c r="L1067" s="1050"/>
      <c r="M1067" s="1072"/>
      <c r="N1067" s="1050"/>
      <c r="O1067" s="1050"/>
      <c r="P1067" s="1050"/>
    </row>
    <row r="1068" spans="3:16" x14ac:dyDescent="0.3">
      <c r="C1068" s="1050"/>
      <c r="D1068" s="1050"/>
      <c r="E1068" s="1050"/>
      <c r="F1068" s="1050"/>
      <c r="G1068" s="1050"/>
      <c r="H1068" s="1050"/>
      <c r="I1068" s="1050"/>
      <c r="J1068" s="1050"/>
      <c r="K1068" s="1050"/>
      <c r="L1068" s="1050"/>
      <c r="M1068" s="1072"/>
      <c r="N1068" s="1050"/>
      <c r="O1068" s="1050"/>
      <c r="P1068" s="1050"/>
    </row>
    <row r="1069" spans="3:16" x14ac:dyDescent="0.3">
      <c r="C1069" s="1050"/>
      <c r="D1069" s="1050"/>
      <c r="E1069" s="1050"/>
      <c r="F1069" s="1050"/>
      <c r="G1069" s="1050"/>
      <c r="H1069" s="1050"/>
      <c r="I1069" s="1050"/>
      <c r="J1069" s="1050"/>
      <c r="K1069" s="1050"/>
      <c r="L1069" s="1050"/>
      <c r="M1069" s="1072"/>
      <c r="N1069" s="1050"/>
      <c r="O1069" s="1050"/>
      <c r="P1069" s="1050"/>
    </row>
    <row r="1070" spans="3:16" x14ac:dyDescent="0.3">
      <c r="C1070" s="1050"/>
      <c r="D1070" s="1050"/>
      <c r="E1070" s="1050"/>
      <c r="F1070" s="1050"/>
      <c r="G1070" s="1050"/>
      <c r="H1070" s="1050"/>
      <c r="I1070" s="1050"/>
      <c r="J1070" s="1050"/>
      <c r="K1070" s="1050"/>
      <c r="L1070" s="1050"/>
      <c r="M1070" s="1072"/>
      <c r="N1070" s="1050"/>
      <c r="O1070" s="1050"/>
      <c r="P1070" s="1050"/>
    </row>
    <row r="1071" spans="3:16" x14ac:dyDescent="0.3">
      <c r="C1071" s="1050"/>
      <c r="D1071" s="1050"/>
      <c r="E1071" s="1050"/>
      <c r="F1071" s="1050"/>
      <c r="G1071" s="1050"/>
      <c r="H1071" s="1050"/>
      <c r="I1071" s="1050"/>
      <c r="J1071" s="1050"/>
      <c r="K1071" s="1050"/>
      <c r="L1071" s="1050"/>
      <c r="M1071" s="1072"/>
      <c r="N1071" s="1050"/>
      <c r="O1071" s="1050"/>
      <c r="P1071" s="1050"/>
    </row>
    <row r="1072" spans="3:16" x14ac:dyDescent="0.3">
      <c r="C1072" s="1050"/>
      <c r="D1072" s="1050"/>
      <c r="E1072" s="1050"/>
      <c r="F1072" s="1050"/>
      <c r="G1072" s="1050"/>
      <c r="H1072" s="1050"/>
      <c r="I1072" s="1050"/>
      <c r="J1072" s="1050"/>
      <c r="K1072" s="1050"/>
      <c r="L1072" s="1050"/>
      <c r="M1072" s="1072"/>
      <c r="N1072" s="1050"/>
      <c r="O1072" s="1050"/>
      <c r="P1072" s="1050"/>
    </row>
    <row r="1073" spans="3:16" x14ac:dyDescent="0.3">
      <c r="C1073" s="1050"/>
      <c r="D1073" s="1050"/>
      <c r="E1073" s="1050"/>
      <c r="F1073" s="1050"/>
      <c r="G1073" s="1050"/>
      <c r="H1073" s="1050"/>
      <c r="I1073" s="1050"/>
      <c r="J1073" s="1050"/>
      <c r="K1073" s="1050"/>
      <c r="L1073" s="1050"/>
      <c r="M1073" s="1072"/>
      <c r="N1073" s="1050"/>
      <c r="O1073" s="1050"/>
      <c r="P1073" s="1050"/>
    </row>
    <row r="1074" spans="3:16" x14ac:dyDescent="0.3">
      <c r="C1074" s="1050"/>
      <c r="D1074" s="1050"/>
      <c r="E1074" s="1050"/>
      <c r="F1074" s="1050"/>
      <c r="G1074" s="1050"/>
      <c r="H1074" s="1050"/>
      <c r="I1074" s="1050"/>
      <c r="J1074" s="1050"/>
      <c r="K1074" s="1050"/>
      <c r="L1074" s="1050"/>
      <c r="M1074" s="1072"/>
      <c r="N1074" s="1050"/>
      <c r="O1074" s="1050"/>
      <c r="P1074" s="1050"/>
    </row>
    <row r="1075" spans="3:16" x14ac:dyDescent="0.3">
      <c r="C1075" s="1050"/>
      <c r="D1075" s="1050"/>
      <c r="E1075" s="1050"/>
      <c r="F1075" s="1050"/>
      <c r="G1075" s="1050"/>
      <c r="H1075" s="1050"/>
      <c r="I1075" s="1050"/>
      <c r="J1075" s="1050"/>
      <c r="K1075" s="1050"/>
      <c r="L1075" s="1050"/>
      <c r="M1075" s="1072"/>
      <c r="N1075" s="1050"/>
      <c r="O1075" s="1050"/>
      <c r="P1075" s="1050"/>
    </row>
    <row r="1076" spans="3:16" x14ac:dyDescent="0.3">
      <c r="C1076" s="1050"/>
      <c r="D1076" s="1050"/>
      <c r="E1076" s="1050"/>
      <c r="F1076" s="1050"/>
      <c r="G1076" s="1050"/>
      <c r="H1076" s="1050"/>
      <c r="I1076" s="1050"/>
      <c r="J1076" s="1050"/>
      <c r="K1076" s="1050"/>
      <c r="L1076" s="1050"/>
      <c r="M1076" s="1072"/>
      <c r="N1076" s="1050"/>
      <c r="O1076" s="1050"/>
      <c r="P1076" s="1050"/>
    </row>
    <row r="1077" spans="3:16" x14ac:dyDescent="0.3">
      <c r="C1077" s="1050"/>
      <c r="D1077" s="1050"/>
      <c r="E1077" s="1050"/>
      <c r="F1077" s="1050"/>
      <c r="G1077" s="1050"/>
      <c r="H1077" s="1050"/>
      <c r="I1077" s="1050"/>
      <c r="J1077" s="1050"/>
      <c r="K1077" s="1050"/>
      <c r="L1077" s="1050"/>
      <c r="M1077" s="1072"/>
      <c r="N1077" s="1050"/>
      <c r="O1077" s="1050"/>
      <c r="P1077" s="1050"/>
    </row>
    <row r="1078" spans="3:16" x14ac:dyDescent="0.3">
      <c r="C1078" s="1050"/>
      <c r="D1078" s="1050"/>
      <c r="E1078" s="1050"/>
      <c r="F1078" s="1050"/>
      <c r="G1078" s="1050"/>
      <c r="H1078" s="1050"/>
      <c r="I1078" s="1050"/>
      <c r="J1078" s="1050"/>
      <c r="K1078" s="1050"/>
      <c r="L1078" s="1050"/>
      <c r="M1078" s="1072"/>
      <c r="N1078" s="1050"/>
      <c r="O1078" s="1050"/>
      <c r="P1078" s="1050"/>
    </row>
    <row r="1079" spans="3:16" x14ac:dyDescent="0.3">
      <c r="C1079" s="1050"/>
      <c r="D1079" s="1050"/>
      <c r="E1079" s="1050"/>
      <c r="F1079" s="1050"/>
      <c r="G1079" s="1050"/>
      <c r="H1079" s="1050"/>
      <c r="I1079" s="1050"/>
      <c r="J1079" s="1050"/>
      <c r="K1079" s="1050"/>
      <c r="L1079" s="1050"/>
      <c r="M1079" s="1072"/>
      <c r="N1079" s="1050"/>
      <c r="O1079" s="1050"/>
      <c r="P1079" s="1050"/>
    </row>
    <row r="1080" spans="3:16" x14ac:dyDescent="0.3">
      <c r="C1080" s="1050"/>
      <c r="D1080" s="1050"/>
      <c r="E1080" s="1050"/>
      <c r="F1080" s="1050"/>
      <c r="G1080" s="1050"/>
      <c r="H1080" s="1050"/>
      <c r="I1080" s="1050"/>
      <c r="J1080" s="1050"/>
      <c r="K1080" s="1050"/>
      <c r="L1080" s="1050"/>
      <c r="M1080" s="1072"/>
      <c r="N1080" s="1050"/>
      <c r="O1080" s="1050"/>
      <c r="P1080" s="1050"/>
    </row>
    <row r="1081" spans="3:16" x14ac:dyDescent="0.3">
      <c r="C1081" s="1050"/>
      <c r="D1081" s="1050"/>
      <c r="E1081" s="1050"/>
      <c r="F1081" s="1050"/>
      <c r="G1081" s="1050"/>
      <c r="H1081" s="1050"/>
      <c r="I1081" s="1050"/>
      <c r="J1081" s="1050"/>
      <c r="K1081" s="1050"/>
      <c r="L1081" s="1050"/>
      <c r="M1081" s="1072"/>
      <c r="N1081" s="1050"/>
      <c r="O1081" s="1050"/>
      <c r="P1081" s="1050"/>
    </row>
    <row r="1082" spans="3:16" x14ac:dyDescent="0.3">
      <c r="C1082" s="1050"/>
      <c r="D1082" s="1050"/>
      <c r="E1082" s="1050"/>
      <c r="F1082" s="1050"/>
      <c r="G1082" s="1050"/>
      <c r="H1082" s="1050"/>
      <c r="I1082" s="1050"/>
      <c r="J1082" s="1050"/>
      <c r="K1082" s="1050"/>
      <c r="L1082" s="1050"/>
      <c r="M1082" s="1072"/>
      <c r="N1082" s="1050"/>
      <c r="O1082" s="1050"/>
      <c r="P1082" s="1050"/>
    </row>
    <row r="1083" spans="3:16" x14ac:dyDescent="0.3">
      <c r="C1083" s="1050"/>
      <c r="D1083" s="1050"/>
      <c r="E1083" s="1050"/>
      <c r="F1083" s="1050"/>
      <c r="G1083" s="1050"/>
      <c r="H1083" s="1050"/>
      <c r="I1083" s="1050"/>
      <c r="J1083" s="1050"/>
      <c r="K1083" s="1050"/>
      <c r="L1083" s="1050"/>
      <c r="M1083" s="1072"/>
      <c r="N1083" s="1050"/>
      <c r="O1083" s="1050"/>
      <c r="P1083" s="1050"/>
    </row>
    <row r="1084" spans="3:16" x14ac:dyDescent="0.3">
      <c r="C1084" s="1050"/>
      <c r="D1084" s="1050"/>
      <c r="E1084" s="1050"/>
      <c r="F1084" s="1050"/>
      <c r="G1084" s="1050"/>
      <c r="H1084" s="1050"/>
      <c r="I1084" s="1050"/>
      <c r="J1084" s="1050"/>
      <c r="K1084" s="1050"/>
      <c r="L1084" s="1050"/>
      <c r="M1084" s="1072"/>
      <c r="N1084" s="1050"/>
      <c r="O1084" s="1050"/>
      <c r="P1084" s="1050"/>
    </row>
    <row r="1085" spans="3:16" x14ac:dyDescent="0.3">
      <c r="C1085" s="1050"/>
      <c r="D1085" s="1050"/>
      <c r="E1085" s="1050"/>
      <c r="F1085" s="1050"/>
      <c r="G1085" s="1050"/>
      <c r="H1085" s="1050"/>
      <c r="I1085" s="1050"/>
      <c r="J1085" s="1050"/>
      <c r="K1085" s="1050"/>
      <c r="L1085" s="1050"/>
      <c r="M1085" s="1072"/>
      <c r="N1085" s="1050"/>
      <c r="O1085" s="1050"/>
      <c r="P1085" s="1050"/>
    </row>
    <row r="1086" spans="3:16" x14ac:dyDescent="0.3">
      <c r="C1086" s="1050"/>
      <c r="D1086" s="1050"/>
      <c r="E1086" s="1050"/>
      <c r="F1086" s="1050"/>
      <c r="G1086" s="1050"/>
      <c r="H1086" s="1050"/>
      <c r="I1086" s="1050"/>
      <c r="J1086" s="1050"/>
      <c r="K1086" s="1050"/>
      <c r="L1086" s="1050"/>
      <c r="M1086" s="1072"/>
      <c r="N1086" s="1050"/>
      <c r="O1086" s="1050"/>
      <c r="P1086" s="1050"/>
    </row>
    <row r="1087" spans="3:16" x14ac:dyDescent="0.3">
      <c r="C1087" s="1050"/>
      <c r="D1087" s="1050"/>
      <c r="E1087" s="1050"/>
      <c r="F1087" s="1050"/>
      <c r="G1087" s="1050"/>
      <c r="H1087" s="1050"/>
      <c r="I1087" s="1050"/>
      <c r="J1087" s="1050"/>
      <c r="K1087" s="1050"/>
      <c r="L1087" s="1050"/>
      <c r="M1087" s="1072"/>
      <c r="N1087" s="1050"/>
      <c r="O1087" s="1050"/>
      <c r="P1087" s="1050"/>
    </row>
    <row r="1088" spans="3:16" x14ac:dyDescent="0.3">
      <c r="C1088" s="1050"/>
      <c r="D1088" s="1050"/>
      <c r="E1088" s="1050"/>
      <c r="F1088" s="1050"/>
      <c r="G1088" s="1050"/>
      <c r="H1088" s="1050"/>
      <c r="I1088" s="1050"/>
      <c r="J1088" s="1050"/>
      <c r="K1088" s="1050"/>
      <c r="L1088" s="1050"/>
      <c r="M1088" s="1072"/>
      <c r="N1088" s="1050"/>
      <c r="O1088" s="1050"/>
      <c r="P1088" s="1050"/>
    </row>
    <row r="1089" spans="3:16" x14ac:dyDescent="0.3">
      <c r="C1089" s="1050"/>
      <c r="D1089" s="1050"/>
      <c r="E1089" s="1050"/>
      <c r="F1089" s="1050"/>
      <c r="G1089" s="1050"/>
      <c r="H1089" s="1050"/>
      <c r="I1089" s="1050"/>
      <c r="J1089" s="1050"/>
      <c r="K1089" s="1050"/>
      <c r="L1089" s="1050"/>
      <c r="M1089" s="1072"/>
      <c r="N1089" s="1050"/>
      <c r="O1089" s="1050"/>
      <c r="P1089" s="1050"/>
    </row>
    <row r="1090" spans="3:16" x14ac:dyDescent="0.3">
      <c r="C1090" s="1050"/>
      <c r="D1090" s="1050"/>
      <c r="E1090" s="1050"/>
      <c r="F1090" s="1050"/>
      <c r="G1090" s="1050"/>
      <c r="H1090" s="1050"/>
      <c r="I1090" s="1050"/>
      <c r="J1090" s="1050"/>
      <c r="K1090" s="1050"/>
      <c r="L1090" s="1050"/>
      <c r="M1090" s="1072"/>
      <c r="N1090" s="1050"/>
      <c r="O1090" s="1050"/>
      <c r="P1090" s="1050"/>
    </row>
    <row r="1091" spans="3:16" x14ac:dyDescent="0.3">
      <c r="C1091" s="1050"/>
      <c r="D1091" s="1050"/>
      <c r="E1091" s="1050"/>
      <c r="F1091" s="1050"/>
      <c r="G1091" s="1050"/>
      <c r="H1091" s="1050"/>
      <c r="I1091" s="1050"/>
      <c r="J1091" s="1050"/>
      <c r="K1091" s="1050"/>
      <c r="L1091" s="1050"/>
      <c r="M1091" s="1072"/>
      <c r="N1091" s="1050"/>
      <c r="O1091" s="1050"/>
      <c r="P1091" s="1050"/>
    </row>
    <row r="1092" spans="3:16" x14ac:dyDescent="0.3">
      <c r="C1092" s="1050"/>
      <c r="D1092" s="1050"/>
      <c r="E1092" s="1050"/>
      <c r="F1092" s="1050"/>
      <c r="G1092" s="1050"/>
      <c r="H1092" s="1050"/>
      <c r="I1092" s="1050"/>
      <c r="J1092" s="1050"/>
      <c r="K1092" s="1050"/>
      <c r="L1092" s="1050"/>
      <c r="M1092" s="1072"/>
      <c r="N1092" s="1050"/>
      <c r="O1092" s="1050"/>
      <c r="P1092" s="1050"/>
    </row>
    <row r="1093" spans="3:16" x14ac:dyDescent="0.3">
      <c r="C1093" s="1050"/>
      <c r="D1093" s="1050"/>
      <c r="E1093" s="1050"/>
      <c r="F1093" s="1050"/>
      <c r="G1093" s="1050"/>
      <c r="H1093" s="1050"/>
      <c r="I1093" s="1050"/>
      <c r="J1093" s="1050"/>
      <c r="K1093" s="1050"/>
      <c r="L1093" s="1050"/>
      <c r="M1093" s="1072"/>
      <c r="N1093" s="1050"/>
      <c r="O1093" s="1050"/>
      <c r="P1093" s="1050"/>
    </row>
    <row r="1094" spans="3:16" x14ac:dyDescent="0.3">
      <c r="C1094" s="1050"/>
      <c r="D1094" s="1050"/>
      <c r="E1094" s="1050"/>
      <c r="F1094" s="1050"/>
      <c r="G1094" s="1050"/>
      <c r="H1094" s="1050"/>
      <c r="I1094" s="1050"/>
      <c r="J1094" s="1050"/>
      <c r="K1094" s="1050"/>
      <c r="L1094" s="1050"/>
      <c r="M1094" s="1072"/>
      <c r="N1094" s="1050"/>
      <c r="O1094" s="1050"/>
      <c r="P1094" s="1050"/>
    </row>
    <row r="1095" spans="3:16" x14ac:dyDescent="0.3">
      <c r="C1095" s="1050"/>
      <c r="D1095" s="1050"/>
      <c r="E1095" s="1050"/>
      <c r="F1095" s="1050"/>
      <c r="G1095" s="1050"/>
      <c r="H1095" s="1050"/>
      <c r="I1095" s="1050"/>
      <c r="J1095" s="1050"/>
      <c r="K1095" s="1050"/>
      <c r="L1095" s="1050"/>
      <c r="M1095" s="1072"/>
      <c r="N1095" s="1050"/>
      <c r="O1095" s="1050"/>
      <c r="P1095" s="1050"/>
    </row>
    <row r="1096" spans="3:16" x14ac:dyDescent="0.3">
      <c r="C1096" s="1050"/>
      <c r="D1096" s="1050"/>
      <c r="E1096" s="1050"/>
      <c r="F1096" s="1050"/>
      <c r="G1096" s="1050"/>
      <c r="H1096" s="1050"/>
      <c r="I1096" s="1050"/>
      <c r="J1096" s="1050"/>
      <c r="K1096" s="1050"/>
      <c r="L1096" s="1050"/>
      <c r="M1096" s="1072"/>
      <c r="N1096" s="1050"/>
      <c r="O1096" s="1050"/>
      <c r="P1096" s="1050"/>
    </row>
    <row r="1097" spans="3:16" x14ac:dyDescent="0.3">
      <c r="C1097" s="1050"/>
      <c r="D1097" s="1050"/>
      <c r="E1097" s="1050"/>
      <c r="F1097" s="1050"/>
      <c r="G1097" s="1050"/>
      <c r="H1097" s="1050"/>
      <c r="I1097" s="1050"/>
      <c r="J1097" s="1050"/>
      <c r="K1097" s="1050"/>
      <c r="L1097" s="1050"/>
      <c r="M1097" s="1072"/>
      <c r="N1097" s="1050"/>
      <c r="O1097" s="1050"/>
      <c r="P1097" s="1050"/>
    </row>
    <row r="1098" spans="3:16" x14ac:dyDescent="0.3">
      <c r="C1098" s="1050"/>
      <c r="D1098" s="1050"/>
      <c r="E1098" s="1050"/>
      <c r="F1098" s="1050"/>
      <c r="G1098" s="1050"/>
      <c r="H1098" s="1050"/>
      <c r="I1098" s="1050"/>
      <c r="J1098" s="1050"/>
      <c r="K1098" s="1050"/>
      <c r="L1098" s="1050"/>
      <c r="M1098" s="1072"/>
      <c r="N1098" s="1050"/>
      <c r="O1098" s="1050"/>
      <c r="P1098" s="1050"/>
    </row>
    <row r="1099" spans="3:16" x14ac:dyDescent="0.3">
      <c r="C1099" s="1050"/>
      <c r="D1099" s="1050"/>
      <c r="E1099" s="1050"/>
      <c r="F1099" s="1050"/>
      <c r="G1099" s="1050"/>
      <c r="H1099" s="1050"/>
      <c r="I1099" s="1050"/>
      <c r="J1099" s="1050"/>
      <c r="K1099" s="1050"/>
      <c r="L1099" s="1050"/>
      <c r="M1099" s="1072"/>
      <c r="N1099" s="1050"/>
      <c r="O1099" s="1050"/>
      <c r="P1099" s="1050"/>
    </row>
    <row r="1100" spans="3:16" x14ac:dyDescent="0.3">
      <c r="C1100" s="1050"/>
      <c r="D1100" s="1050"/>
      <c r="E1100" s="1050"/>
      <c r="F1100" s="1050"/>
      <c r="G1100" s="1050"/>
      <c r="H1100" s="1050"/>
      <c r="I1100" s="1050"/>
      <c r="J1100" s="1050"/>
      <c r="K1100" s="1050"/>
      <c r="L1100" s="1050"/>
      <c r="M1100" s="1072"/>
      <c r="N1100" s="1050"/>
      <c r="O1100" s="1050"/>
      <c r="P1100" s="1050"/>
    </row>
    <row r="1101" spans="3:16" x14ac:dyDescent="0.3">
      <c r="C1101" s="1050"/>
      <c r="D1101" s="1050"/>
      <c r="E1101" s="1050"/>
      <c r="F1101" s="1050"/>
      <c r="G1101" s="1050"/>
      <c r="H1101" s="1050"/>
      <c r="I1101" s="1050"/>
      <c r="J1101" s="1050"/>
      <c r="K1101" s="1050"/>
      <c r="L1101" s="1050"/>
      <c r="M1101" s="1072"/>
      <c r="N1101" s="1050"/>
      <c r="O1101" s="1050"/>
      <c r="P1101" s="1050"/>
    </row>
    <row r="1102" spans="3:16" x14ac:dyDescent="0.3">
      <c r="C1102" s="1050"/>
      <c r="D1102" s="1050"/>
      <c r="E1102" s="1050"/>
      <c r="F1102" s="1050"/>
      <c r="G1102" s="1050"/>
      <c r="H1102" s="1050"/>
      <c r="I1102" s="1050"/>
      <c r="J1102" s="1050"/>
      <c r="K1102" s="1050"/>
      <c r="L1102" s="1050"/>
      <c r="M1102" s="1072"/>
      <c r="N1102" s="1050"/>
      <c r="O1102" s="1050"/>
      <c r="P1102" s="1050"/>
    </row>
    <row r="1103" spans="3:16" x14ac:dyDescent="0.3">
      <c r="C1103" s="1050"/>
      <c r="D1103" s="1050"/>
      <c r="E1103" s="1050"/>
      <c r="F1103" s="1050"/>
      <c r="G1103" s="1050"/>
      <c r="H1103" s="1050"/>
      <c r="I1103" s="1050"/>
      <c r="J1103" s="1050"/>
      <c r="K1103" s="1050"/>
      <c r="L1103" s="1050"/>
      <c r="M1103" s="1072"/>
      <c r="N1103" s="1050"/>
      <c r="O1103" s="1050"/>
      <c r="P1103" s="1050"/>
    </row>
    <row r="1104" spans="3:16" x14ac:dyDescent="0.3">
      <c r="C1104" s="1050"/>
      <c r="D1104" s="1050"/>
      <c r="E1104" s="1050"/>
      <c r="F1104" s="1050"/>
      <c r="G1104" s="1050"/>
      <c r="H1104" s="1050"/>
      <c r="I1104" s="1050"/>
      <c r="J1104" s="1050"/>
      <c r="K1104" s="1050"/>
      <c r="L1104" s="1050"/>
      <c r="M1104" s="1072"/>
      <c r="N1104" s="1050"/>
      <c r="O1104" s="1050"/>
      <c r="P1104" s="1050"/>
    </row>
    <row r="1105" spans="3:16" x14ac:dyDescent="0.3">
      <c r="C1105" s="1050"/>
      <c r="D1105" s="1050"/>
      <c r="E1105" s="1050"/>
      <c r="F1105" s="1050"/>
      <c r="G1105" s="1050"/>
      <c r="H1105" s="1050"/>
      <c r="I1105" s="1050"/>
      <c r="J1105" s="1050"/>
      <c r="K1105" s="1050"/>
      <c r="L1105" s="1050"/>
      <c r="M1105" s="1072"/>
      <c r="N1105" s="1050"/>
      <c r="O1105" s="1050"/>
      <c r="P1105" s="1050"/>
    </row>
    <row r="1106" spans="3:16" x14ac:dyDescent="0.3">
      <c r="C1106" s="1050"/>
      <c r="D1106" s="1050"/>
      <c r="E1106" s="1050"/>
      <c r="F1106" s="1050"/>
      <c r="G1106" s="1050"/>
      <c r="H1106" s="1050"/>
      <c r="I1106" s="1050"/>
      <c r="J1106" s="1050"/>
      <c r="K1106" s="1050"/>
      <c r="L1106" s="1050"/>
      <c r="M1106" s="1072"/>
      <c r="N1106" s="1050"/>
      <c r="O1106" s="1050"/>
      <c r="P1106" s="1050"/>
    </row>
    <row r="1107" spans="3:16" x14ac:dyDescent="0.3">
      <c r="C1107" s="1050"/>
      <c r="D1107" s="1050"/>
      <c r="E1107" s="1050"/>
      <c r="F1107" s="1050"/>
      <c r="G1107" s="1050"/>
      <c r="H1107" s="1050"/>
      <c r="I1107" s="1050"/>
      <c r="J1107" s="1050"/>
      <c r="K1107" s="1050"/>
      <c r="L1107" s="1050"/>
      <c r="M1107" s="1072"/>
      <c r="N1107" s="1050"/>
      <c r="O1107" s="1050"/>
      <c r="P1107" s="1050"/>
    </row>
    <row r="1108" spans="3:16" x14ac:dyDescent="0.3">
      <c r="C1108" s="1050"/>
      <c r="D1108" s="1050"/>
      <c r="E1108" s="1050"/>
      <c r="F1108" s="1050"/>
      <c r="G1108" s="1050"/>
      <c r="H1108" s="1050"/>
      <c r="I1108" s="1050"/>
      <c r="J1108" s="1050"/>
      <c r="K1108" s="1050"/>
      <c r="L1108" s="1050"/>
      <c r="M1108" s="1072"/>
      <c r="N1108" s="1050"/>
      <c r="O1108" s="1050"/>
      <c r="P1108" s="1050"/>
    </row>
    <row r="1109" spans="3:16" x14ac:dyDescent="0.3">
      <c r="C1109" s="1050"/>
      <c r="D1109" s="1050"/>
      <c r="E1109" s="1050"/>
      <c r="F1109" s="1050"/>
      <c r="G1109" s="1050"/>
      <c r="H1109" s="1050"/>
      <c r="I1109" s="1050"/>
      <c r="J1109" s="1050"/>
      <c r="K1109" s="1050"/>
      <c r="L1109" s="1050"/>
      <c r="M1109" s="1072"/>
      <c r="N1109" s="1050"/>
      <c r="O1109" s="1050"/>
      <c r="P1109" s="1050"/>
    </row>
    <row r="1110" spans="3:16" x14ac:dyDescent="0.3">
      <c r="C1110" s="1050"/>
      <c r="D1110" s="1050"/>
      <c r="E1110" s="1050"/>
      <c r="F1110" s="1050"/>
      <c r="G1110" s="1050"/>
      <c r="H1110" s="1050"/>
      <c r="I1110" s="1050"/>
      <c r="J1110" s="1050"/>
      <c r="K1110" s="1050"/>
      <c r="L1110" s="1050"/>
      <c r="M1110" s="1072"/>
      <c r="N1110" s="1050"/>
      <c r="O1110" s="1050"/>
      <c r="P1110" s="1050"/>
    </row>
    <row r="1111" spans="3:16" x14ac:dyDescent="0.3">
      <c r="C1111" s="1050"/>
      <c r="D1111" s="1050"/>
      <c r="E1111" s="1050"/>
      <c r="F1111" s="1050"/>
      <c r="G1111" s="1050"/>
      <c r="H1111" s="1050"/>
      <c r="I1111" s="1050"/>
      <c r="J1111" s="1050"/>
      <c r="K1111" s="1050"/>
      <c r="L1111" s="1050"/>
      <c r="M1111" s="1072"/>
      <c r="N1111" s="1050"/>
      <c r="O1111" s="1050"/>
      <c r="P1111" s="1050"/>
    </row>
    <row r="1112" spans="3:16" x14ac:dyDescent="0.3">
      <c r="C1112" s="1050"/>
      <c r="D1112" s="1050"/>
      <c r="E1112" s="1050"/>
      <c r="F1112" s="1050"/>
      <c r="G1112" s="1050"/>
      <c r="H1112" s="1050"/>
      <c r="I1112" s="1050"/>
      <c r="J1112" s="1050"/>
      <c r="K1112" s="1050"/>
      <c r="L1112" s="1050"/>
      <c r="M1112" s="1072"/>
      <c r="N1112" s="1050"/>
      <c r="O1112" s="1050"/>
      <c r="P1112" s="1050"/>
    </row>
    <row r="1113" spans="3:16" x14ac:dyDescent="0.3">
      <c r="C1113" s="1050"/>
      <c r="D1113" s="1050"/>
      <c r="E1113" s="1050"/>
      <c r="F1113" s="1050"/>
      <c r="G1113" s="1050"/>
      <c r="H1113" s="1050"/>
      <c r="I1113" s="1050"/>
      <c r="J1113" s="1050"/>
      <c r="K1113" s="1050"/>
      <c r="L1113" s="1050"/>
      <c r="M1113" s="1072"/>
      <c r="N1113" s="1050"/>
      <c r="O1113" s="1050"/>
      <c r="P1113" s="1050"/>
    </row>
    <row r="1114" spans="3:16" x14ac:dyDescent="0.3">
      <c r="C1114" s="1050"/>
      <c r="D1114" s="1050"/>
      <c r="E1114" s="1050"/>
      <c r="F1114" s="1050"/>
      <c r="G1114" s="1050"/>
      <c r="H1114" s="1050"/>
      <c r="I1114" s="1050"/>
      <c r="J1114" s="1050"/>
      <c r="K1114" s="1050"/>
      <c r="L1114" s="1050"/>
      <c r="M1114" s="1072"/>
      <c r="N1114" s="1050"/>
      <c r="O1114" s="1050"/>
      <c r="P1114" s="1050"/>
    </row>
    <row r="1115" spans="3:16" x14ac:dyDescent="0.3">
      <c r="C1115" s="1050"/>
      <c r="D1115" s="1050"/>
      <c r="E1115" s="1050"/>
      <c r="F1115" s="1050"/>
      <c r="G1115" s="1050"/>
      <c r="H1115" s="1050"/>
      <c r="I1115" s="1050"/>
      <c r="J1115" s="1050"/>
      <c r="K1115" s="1050"/>
      <c r="L1115" s="1050"/>
      <c r="M1115" s="1072"/>
      <c r="N1115" s="1050"/>
      <c r="O1115" s="1050"/>
      <c r="P1115" s="1050"/>
    </row>
    <row r="1116" spans="3:16" x14ac:dyDescent="0.3">
      <c r="C1116" s="1050"/>
      <c r="D1116" s="1050"/>
      <c r="E1116" s="1050"/>
      <c r="F1116" s="1050"/>
      <c r="G1116" s="1050"/>
      <c r="H1116" s="1050"/>
      <c r="I1116" s="1050"/>
      <c r="J1116" s="1050"/>
      <c r="K1116" s="1050"/>
      <c r="L1116" s="1050"/>
      <c r="M1116" s="1072"/>
      <c r="N1116" s="1050"/>
      <c r="O1116" s="1050"/>
      <c r="P1116" s="1050"/>
    </row>
    <row r="1117" spans="3:16" x14ac:dyDescent="0.3">
      <c r="C1117" s="1050"/>
      <c r="D1117" s="1050"/>
      <c r="E1117" s="1050"/>
      <c r="F1117" s="1050"/>
      <c r="G1117" s="1050"/>
      <c r="H1117" s="1050"/>
      <c r="I1117" s="1050"/>
      <c r="J1117" s="1050"/>
      <c r="K1117" s="1050"/>
      <c r="L1117" s="1050"/>
      <c r="M1117" s="1072"/>
      <c r="N1117" s="1050"/>
      <c r="O1117" s="1050"/>
      <c r="P1117" s="1050"/>
    </row>
    <row r="1118" spans="3:16" x14ac:dyDescent="0.3">
      <c r="C1118" s="1050"/>
      <c r="D1118" s="1050"/>
      <c r="E1118" s="1050"/>
      <c r="F1118" s="1050"/>
      <c r="G1118" s="1050"/>
      <c r="H1118" s="1050"/>
      <c r="I1118" s="1050"/>
      <c r="J1118" s="1050"/>
      <c r="K1118" s="1050"/>
      <c r="L1118" s="1050"/>
      <c r="M1118" s="1072"/>
      <c r="N1118" s="1050"/>
      <c r="O1118" s="1050"/>
      <c r="P1118" s="1050"/>
    </row>
    <row r="1119" spans="3:16" x14ac:dyDescent="0.3">
      <c r="C1119" s="1050"/>
      <c r="D1119" s="1050"/>
      <c r="E1119" s="1050"/>
      <c r="F1119" s="1050"/>
      <c r="G1119" s="1050"/>
      <c r="H1119" s="1050"/>
      <c r="I1119" s="1050"/>
      <c r="J1119" s="1050"/>
      <c r="K1119" s="1050"/>
      <c r="L1119" s="1050"/>
      <c r="M1119" s="1072"/>
      <c r="N1119" s="1050"/>
      <c r="O1119" s="1050"/>
      <c r="P1119" s="1050"/>
    </row>
    <row r="1120" spans="3:16" x14ac:dyDescent="0.3">
      <c r="C1120" s="1050"/>
      <c r="D1120" s="1050"/>
      <c r="E1120" s="1050"/>
      <c r="F1120" s="1050"/>
      <c r="G1120" s="1050"/>
      <c r="H1120" s="1050"/>
      <c r="I1120" s="1050"/>
      <c r="J1120" s="1050"/>
      <c r="K1120" s="1050"/>
      <c r="L1120" s="1050"/>
      <c r="M1120" s="1072"/>
      <c r="N1120" s="1050"/>
      <c r="O1120" s="1050"/>
      <c r="P1120" s="1050"/>
    </row>
    <row r="1121" spans="3:16" x14ac:dyDescent="0.3">
      <c r="C1121" s="1050"/>
      <c r="D1121" s="1050"/>
      <c r="E1121" s="1050"/>
      <c r="F1121" s="1050"/>
      <c r="G1121" s="1050"/>
      <c r="H1121" s="1050"/>
      <c r="I1121" s="1050"/>
      <c r="J1121" s="1050"/>
      <c r="K1121" s="1050"/>
      <c r="L1121" s="1050"/>
      <c r="M1121" s="1072"/>
      <c r="N1121" s="1050"/>
      <c r="O1121" s="1050"/>
      <c r="P1121" s="1050"/>
    </row>
    <row r="1122" spans="3:16" x14ac:dyDescent="0.3">
      <c r="C1122" s="1050"/>
      <c r="D1122" s="1050"/>
      <c r="E1122" s="1050"/>
      <c r="F1122" s="1050"/>
      <c r="G1122" s="1050"/>
      <c r="H1122" s="1050"/>
      <c r="I1122" s="1050"/>
      <c r="J1122" s="1050"/>
      <c r="K1122" s="1050"/>
      <c r="L1122" s="1050"/>
      <c r="M1122" s="1072"/>
      <c r="N1122" s="1050"/>
      <c r="O1122" s="1050"/>
      <c r="P1122" s="1050"/>
    </row>
    <row r="1123" spans="3:16" x14ac:dyDescent="0.3">
      <c r="C1123" s="1050"/>
      <c r="D1123" s="1050"/>
      <c r="E1123" s="1050"/>
      <c r="F1123" s="1050"/>
      <c r="G1123" s="1050"/>
      <c r="H1123" s="1050"/>
      <c r="I1123" s="1050"/>
      <c r="J1123" s="1050"/>
      <c r="K1123" s="1050"/>
      <c r="L1123" s="1050"/>
      <c r="M1123" s="1072"/>
      <c r="N1123" s="1050"/>
      <c r="O1123" s="1050"/>
      <c r="P1123" s="1050"/>
    </row>
    <row r="1124" spans="3:16" x14ac:dyDescent="0.3">
      <c r="C1124" s="1050"/>
      <c r="D1124" s="1050"/>
      <c r="E1124" s="1050"/>
      <c r="F1124" s="1050"/>
      <c r="G1124" s="1050"/>
      <c r="H1124" s="1050"/>
      <c r="I1124" s="1050"/>
      <c r="J1124" s="1050"/>
      <c r="K1124" s="1050"/>
      <c r="L1124" s="1050"/>
      <c r="M1124" s="1072"/>
      <c r="N1124" s="1050"/>
      <c r="O1124" s="1050"/>
      <c r="P1124" s="1050"/>
    </row>
    <row r="1125" spans="3:16" x14ac:dyDescent="0.3">
      <c r="C1125" s="1050"/>
      <c r="D1125" s="1050"/>
      <c r="E1125" s="1050"/>
      <c r="F1125" s="1050"/>
      <c r="G1125" s="1050"/>
      <c r="H1125" s="1050"/>
      <c r="I1125" s="1050"/>
      <c r="J1125" s="1050"/>
      <c r="K1125" s="1050"/>
      <c r="L1125" s="1050"/>
      <c r="M1125" s="1072"/>
      <c r="N1125" s="1050"/>
      <c r="O1125" s="1050"/>
      <c r="P1125" s="1050"/>
    </row>
    <row r="1126" spans="3:16" x14ac:dyDescent="0.3">
      <c r="C1126" s="1050"/>
      <c r="D1126" s="1050"/>
      <c r="E1126" s="1050"/>
      <c r="F1126" s="1050"/>
      <c r="G1126" s="1050"/>
      <c r="H1126" s="1050"/>
      <c r="I1126" s="1050"/>
      <c r="J1126" s="1050"/>
      <c r="K1126" s="1050"/>
      <c r="L1126" s="1050"/>
      <c r="M1126" s="1072"/>
      <c r="N1126" s="1050"/>
      <c r="O1126" s="1050"/>
      <c r="P1126" s="1050"/>
    </row>
    <row r="1127" spans="3:16" x14ac:dyDescent="0.3">
      <c r="C1127" s="1050"/>
      <c r="D1127" s="1050"/>
      <c r="E1127" s="1050"/>
      <c r="F1127" s="1050"/>
      <c r="G1127" s="1050"/>
      <c r="H1127" s="1050"/>
      <c r="I1127" s="1050"/>
      <c r="J1127" s="1050"/>
      <c r="K1127" s="1050"/>
      <c r="L1127" s="1050"/>
      <c r="M1127" s="1072"/>
      <c r="N1127" s="1050"/>
      <c r="O1127" s="1050"/>
      <c r="P1127" s="1050"/>
    </row>
    <row r="1128" spans="3:16" x14ac:dyDescent="0.3">
      <c r="C1128" s="1050"/>
      <c r="D1128" s="1050"/>
      <c r="E1128" s="1050"/>
      <c r="F1128" s="1050"/>
      <c r="G1128" s="1050"/>
      <c r="H1128" s="1050"/>
      <c r="I1128" s="1050"/>
      <c r="J1128" s="1050"/>
      <c r="K1128" s="1050"/>
      <c r="L1128" s="1050"/>
      <c r="M1128" s="1072"/>
      <c r="N1128" s="1050"/>
      <c r="O1128" s="1050"/>
      <c r="P1128" s="1050"/>
    </row>
    <row r="1129" spans="3:16" x14ac:dyDescent="0.3">
      <c r="C1129" s="1050"/>
      <c r="D1129" s="1050"/>
      <c r="E1129" s="1050"/>
      <c r="F1129" s="1050"/>
      <c r="G1129" s="1050"/>
      <c r="H1129" s="1050"/>
      <c r="I1129" s="1050"/>
      <c r="J1129" s="1050"/>
      <c r="K1129" s="1050"/>
      <c r="L1129" s="1050"/>
      <c r="M1129" s="1072"/>
      <c r="N1129" s="1050"/>
      <c r="O1129" s="1050"/>
      <c r="P1129" s="1050"/>
    </row>
    <row r="1130" spans="3:16" x14ac:dyDescent="0.3">
      <c r="C1130" s="1050"/>
      <c r="D1130" s="1050"/>
      <c r="E1130" s="1050"/>
      <c r="F1130" s="1050"/>
      <c r="G1130" s="1050"/>
      <c r="H1130" s="1050"/>
      <c r="I1130" s="1050"/>
      <c r="J1130" s="1050"/>
      <c r="K1130" s="1050"/>
      <c r="L1130" s="1050"/>
      <c r="M1130" s="1072"/>
      <c r="N1130" s="1050"/>
      <c r="O1130" s="1050"/>
      <c r="P1130" s="1050"/>
    </row>
    <row r="1131" spans="3:16" x14ac:dyDescent="0.3">
      <c r="C1131" s="1050"/>
      <c r="D1131" s="1050"/>
      <c r="E1131" s="1050"/>
      <c r="F1131" s="1050"/>
      <c r="G1131" s="1050"/>
      <c r="H1131" s="1050"/>
      <c r="I1131" s="1050"/>
      <c r="J1131" s="1050"/>
      <c r="K1131" s="1050"/>
      <c r="L1131" s="1050"/>
      <c r="M1131" s="1072"/>
      <c r="N1131" s="1050"/>
      <c r="O1131" s="1050"/>
      <c r="P1131" s="1050"/>
    </row>
    <row r="1132" spans="3:16" x14ac:dyDescent="0.3">
      <c r="C1132" s="1050"/>
      <c r="D1132" s="1050"/>
      <c r="E1132" s="1050"/>
      <c r="F1132" s="1050"/>
      <c r="G1132" s="1050"/>
      <c r="H1132" s="1050"/>
      <c r="I1132" s="1050"/>
      <c r="J1132" s="1050"/>
      <c r="K1132" s="1050"/>
      <c r="L1132" s="1050"/>
      <c r="M1132" s="1072"/>
      <c r="N1132" s="1050"/>
      <c r="O1132" s="1050"/>
      <c r="P1132" s="1050"/>
    </row>
    <row r="1133" spans="3:16" x14ac:dyDescent="0.3">
      <c r="C1133" s="1050"/>
      <c r="D1133" s="1050"/>
      <c r="E1133" s="1050"/>
      <c r="F1133" s="1050"/>
      <c r="G1133" s="1050"/>
      <c r="H1133" s="1050"/>
      <c r="I1133" s="1050"/>
      <c r="J1133" s="1050"/>
      <c r="K1133" s="1050"/>
      <c r="L1133" s="1050"/>
      <c r="M1133" s="1072"/>
      <c r="N1133" s="1050"/>
      <c r="O1133" s="1050"/>
      <c r="P1133" s="1050"/>
    </row>
    <row r="1134" spans="3:16" x14ac:dyDescent="0.3">
      <c r="C1134" s="1050"/>
      <c r="D1134" s="1050"/>
      <c r="E1134" s="1050"/>
      <c r="F1134" s="1050"/>
      <c r="G1134" s="1050"/>
      <c r="H1134" s="1050"/>
      <c r="I1134" s="1050"/>
      <c r="J1134" s="1050"/>
      <c r="K1134" s="1050"/>
      <c r="L1134" s="1050"/>
      <c r="M1134" s="1072"/>
      <c r="N1134" s="1050"/>
      <c r="O1134" s="1050"/>
      <c r="P1134" s="1050"/>
    </row>
    <row r="1135" spans="3:16" x14ac:dyDescent="0.3">
      <c r="C1135" s="1050"/>
      <c r="D1135" s="1050"/>
      <c r="E1135" s="1050"/>
      <c r="F1135" s="1050"/>
      <c r="G1135" s="1050"/>
      <c r="H1135" s="1050"/>
      <c r="I1135" s="1050"/>
      <c r="J1135" s="1050"/>
      <c r="K1135" s="1050"/>
      <c r="L1135" s="1050"/>
      <c r="M1135" s="1072"/>
      <c r="N1135" s="1050"/>
      <c r="O1135" s="1050"/>
      <c r="P1135" s="1050"/>
    </row>
    <row r="1136" spans="3:16" x14ac:dyDescent="0.3">
      <c r="C1136" s="1050"/>
      <c r="D1136" s="1050"/>
      <c r="E1136" s="1050"/>
      <c r="F1136" s="1050"/>
      <c r="G1136" s="1050"/>
      <c r="H1136" s="1050"/>
      <c r="I1136" s="1050"/>
      <c r="J1136" s="1050"/>
      <c r="K1136" s="1050"/>
      <c r="L1136" s="1050"/>
      <c r="M1136" s="1072"/>
      <c r="N1136" s="1050"/>
      <c r="O1136" s="1050"/>
      <c r="P1136" s="1050"/>
    </row>
    <row r="1137" spans="3:16" x14ac:dyDescent="0.3">
      <c r="C1137" s="1050"/>
      <c r="D1137" s="1050"/>
      <c r="E1137" s="1050"/>
      <c r="F1137" s="1050"/>
      <c r="G1137" s="1050"/>
      <c r="H1137" s="1050"/>
      <c r="I1137" s="1050"/>
      <c r="J1137" s="1050"/>
      <c r="K1137" s="1050"/>
      <c r="L1137" s="1050"/>
      <c r="M1137" s="1072"/>
      <c r="N1137" s="1050"/>
      <c r="O1137" s="1050"/>
      <c r="P1137" s="1050"/>
    </row>
    <row r="1138" spans="3:16" x14ac:dyDescent="0.3">
      <c r="C1138" s="1050"/>
      <c r="D1138" s="1050"/>
      <c r="E1138" s="1050"/>
      <c r="F1138" s="1050"/>
      <c r="G1138" s="1050"/>
      <c r="H1138" s="1050"/>
      <c r="I1138" s="1050"/>
      <c r="J1138" s="1050"/>
      <c r="K1138" s="1050"/>
      <c r="L1138" s="1050"/>
      <c r="M1138" s="1072"/>
      <c r="N1138" s="1050"/>
      <c r="O1138" s="1050"/>
      <c r="P1138" s="1050"/>
    </row>
    <row r="1139" spans="3:16" x14ac:dyDescent="0.3">
      <c r="C1139" s="1050"/>
      <c r="D1139" s="1050"/>
      <c r="E1139" s="1050"/>
      <c r="F1139" s="1050"/>
      <c r="G1139" s="1050"/>
      <c r="H1139" s="1050"/>
      <c r="I1139" s="1050"/>
      <c r="J1139" s="1050"/>
      <c r="K1139" s="1050"/>
      <c r="L1139" s="1050"/>
      <c r="M1139" s="1072"/>
      <c r="N1139" s="1050"/>
      <c r="O1139" s="1050"/>
      <c r="P1139" s="1050"/>
    </row>
    <row r="1140" spans="3:16" x14ac:dyDescent="0.3">
      <c r="C1140" s="1050"/>
      <c r="D1140" s="1050"/>
      <c r="E1140" s="1050"/>
      <c r="F1140" s="1050"/>
      <c r="G1140" s="1050"/>
      <c r="H1140" s="1050"/>
      <c r="I1140" s="1050"/>
      <c r="J1140" s="1050"/>
      <c r="K1140" s="1050"/>
      <c r="L1140" s="1050"/>
      <c r="M1140" s="1072"/>
      <c r="N1140" s="1050"/>
      <c r="O1140" s="1050"/>
      <c r="P1140" s="1050"/>
    </row>
    <row r="1141" spans="3:16" x14ac:dyDescent="0.3">
      <c r="C1141" s="1050"/>
      <c r="D1141" s="1050"/>
      <c r="E1141" s="1050"/>
      <c r="F1141" s="1050"/>
      <c r="G1141" s="1050"/>
      <c r="H1141" s="1050"/>
      <c r="I1141" s="1050"/>
      <c r="J1141" s="1050"/>
      <c r="K1141" s="1050"/>
      <c r="L1141" s="1050"/>
      <c r="M1141" s="1072"/>
      <c r="N1141" s="1050"/>
      <c r="O1141" s="1050"/>
      <c r="P1141" s="1050"/>
    </row>
    <row r="1142" spans="3:16" x14ac:dyDescent="0.3">
      <c r="C1142" s="1050"/>
      <c r="D1142" s="1050"/>
      <c r="E1142" s="1050"/>
      <c r="F1142" s="1050"/>
      <c r="G1142" s="1050"/>
      <c r="H1142" s="1050"/>
      <c r="I1142" s="1050"/>
      <c r="J1142" s="1050"/>
      <c r="K1142" s="1050"/>
      <c r="L1142" s="1050"/>
      <c r="M1142" s="1072"/>
      <c r="N1142" s="1050"/>
      <c r="O1142" s="1050"/>
      <c r="P1142" s="1050"/>
    </row>
    <row r="1143" spans="3:16" x14ac:dyDescent="0.3">
      <c r="C1143" s="1050"/>
      <c r="D1143" s="1050"/>
      <c r="E1143" s="1050"/>
      <c r="F1143" s="1050"/>
      <c r="G1143" s="1050"/>
      <c r="H1143" s="1050"/>
      <c r="I1143" s="1050"/>
      <c r="J1143" s="1050"/>
      <c r="K1143" s="1050"/>
      <c r="L1143" s="1050"/>
      <c r="M1143" s="1072"/>
      <c r="N1143" s="1050"/>
      <c r="O1143" s="1050"/>
      <c r="P1143" s="1050"/>
    </row>
    <row r="1144" spans="3:16" x14ac:dyDescent="0.3">
      <c r="C1144" s="1050"/>
      <c r="D1144" s="1050"/>
      <c r="E1144" s="1050"/>
      <c r="F1144" s="1050"/>
      <c r="G1144" s="1050"/>
      <c r="H1144" s="1050"/>
      <c r="I1144" s="1050"/>
      <c r="J1144" s="1050"/>
      <c r="K1144" s="1050"/>
      <c r="L1144" s="1050"/>
      <c r="M1144" s="1072"/>
      <c r="N1144" s="1050"/>
      <c r="O1144" s="1050"/>
      <c r="P1144" s="1050"/>
    </row>
    <row r="1145" spans="3:16" x14ac:dyDescent="0.3">
      <c r="C1145" s="1050"/>
      <c r="D1145" s="1050"/>
      <c r="E1145" s="1050"/>
      <c r="F1145" s="1050"/>
      <c r="G1145" s="1050"/>
      <c r="H1145" s="1050"/>
      <c r="I1145" s="1050"/>
      <c r="J1145" s="1050"/>
      <c r="K1145" s="1050"/>
      <c r="L1145" s="1050"/>
      <c r="M1145" s="1072"/>
      <c r="N1145" s="1050"/>
      <c r="O1145" s="1050"/>
      <c r="P1145" s="1050"/>
    </row>
    <row r="1146" spans="3:16" x14ac:dyDescent="0.3">
      <c r="C1146" s="1050"/>
      <c r="D1146" s="1050"/>
      <c r="E1146" s="1050"/>
      <c r="F1146" s="1050"/>
      <c r="G1146" s="1050"/>
      <c r="H1146" s="1050"/>
      <c r="I1146" s="1050"/>
      <c r="J1146" s="1050"/>
      <c r="K1146" s="1050"/>
      <c r="L1146" s="1050"/>
      <c r="M1146" s="1072"/>
      <c r="N1146" s="1050"/>
      <c r="O1146" s="1050"/>
      <c r="P1146" s="1050"/>
    </row>
    <row r="1147" spans="3:16" x14ac:dyDescent="0.3">
      <c r="C1147" s="1050"/>
      <c r="D1147" s="1050"/>
      <c r="E1147" s="1050"/>
      <c r="F1147" s="1050"/>
      <c r="G1147" s="1050"/>
      <c r="H1147" s="1050"/>
      <c r="I1147" s="1050"/>
      <c r="J1147" s="1050"/>
      <c r="K1147" s="1050"/>
      <c r="L1147" s="1050"/>
      <c r="M1147" s="1072"/>
      <c r="N1147" s="1050"/>
      <c r="O1147" s="1050"/>
      <c r="P1147" s="1050"/>
    </row>
    <row r="1148" spans="3:16" x14ac:dyDescent="0.3">
      <c r="C1148" s="1050"/>
      <c r="D1148" s="1050"/>
      <c r="E1148" s="1050"/>
      <c r="F1148" s="1050"/>
      <c r="G1148" s="1050"/>
      <c r="H1148" s="1050"/>
      <c r="I1148" s="1050"/>
      <c r="J1148" s="1050"/>
      <c r="K1148" s="1050"/>
      <c r="L1148" s="1050"/>
      <c r="M1148" s="1072"/>
      <c r="N1148" s="1050"/>
      <c r="O1148" s="1050"/>
      <c r="P1148" s="1050"/>
    </row>
    <row r="1149" spans="3:16" x14ac:dyDescent="0.3">
      <c r="C1149" s="1050"/>
      <c r="D1149" s="1050"/>
      <c r="E1149" s="1050"/>
      <c r="F1149" s="1050"/>
      <c r="G1149" s="1050"/>
      <c r="H1149" s="1050"/>
      <c r="I1149" s="1050"/>
      <c r="J1149" s="1050"/>
      <c r="K1149" s="1050"/>
      <c r="L1149" s="1050"/>
      <c r="M1149" s="1072"/>
      <c r="N1149" s="1050"/>
      <c r="O1149" s="1050"/>
      <c r="P1149" s="1050"/>
    </row>
  </sheetData>
  <mergeCells count="10">
    <mergeCell ref="A335:B335"/>
    <mergeCell ref="A1:L1"/>
    <mergeCell ref="A97:B97"/>
    <mergeCell ref="A288:B288"/>
    <mergeCell ref="A134:B134"/>
    <mergeCell ref="A299:B299"/>
    <mergeCell ref="A108:B108"/>
    <mergeCell ref="A4:B4"/>
    <mergeCell ref="A141:B141"/>
    <mergeCell ref="A293:B293"/>
  </mergeCells>
  <phoneticPr fontId="3" type="noConversion"/>
  <pageMargins left="0.25" right="0.25" top="0.75" bottom="0.75" header="0.3" footer="0.3"/>
  <pageSetup paperSize="9" scale="10" orientation="landscape" r:id="rId1"/>
  <headerFooter alignWithMargins="0">
    <oddHeader>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6"/>
  <sheetViews>
    <sheetView topLeftCell="A67" workbookViewId="0">
      <selection activeCell="A79" sqref="A79:G96"/>
    </sheetView>
  </sheetViews>
  <sheetFormatPr defaultRowHeight="12.6" x14ac:dyDescent="0.25"/>
  <cols>
    <col min="1" max="1" width="35.88671875" customWidth="1"/>
    <col min="2" max="2" width="22" customWidth="1"/>
    <col min="3" max="3" width="0.109375" customWidth="1"/>
    <col min="4" max="4" width="0.33203125" customWidth="1"/>
    <col min="5" max="5" width="37.6640625" customWidth="1"/>
    <col min="6" max="6" width="20.44140625" customWidth="1"/>
    <col min="7" max="7" width="0.109375" customWidth="1"/>
    <col min="8" max="8" width="0.33203125" customWidth="1"/>
    <col min="9" max="9" width="11.5546875" customWidth="1"/>
  </cols>
  <sheetData>
    <row r="1" spans="1:9" ht="37.5" customHeight="1" thickBot="1" x14ac:dyDescent="0.4">
      <c r="A1" s="2529" t="s">
        <v>579</v>
      </c>
      <c r="B1" s="2530"/>
      <c r="C1" s="2530"/>
      <c r="D1" s="2530"/>
      <c r="E1" s="2530"/>
      <c r="F1" s="2530"/>
      <c r="G1" s="2530"/>
      <c r="H1" s="307"/>
      <c r="I1" s="307"/>
    </row>
    <row r="2" spans="1:9" ht="18.75" customHeight="1" thickBot="1" x14ac:dyDescent="0.3">
      <c r="A2" s="374"/>
      <c r="B2" s="558" t="s">
        <v>367</v>
      </c>
      <c r="C2" s="648"/>
      <c r="D2" s="648"/>
      <c r="E2" s="556"/>
      <c r="F2" s="558" t="s">
        <v>367</v>
      </c>
      <c r="G2" s="919"/>
      <c r="H2" s="736"/>
    </row>
    <row r="3" spans="1:9" x14ac:dyDescent="0.25">
      <c r="A3" s="2531" t="s">
        <v>40</v>
      </c>
      <c r="B3" s="2532"/>
      <c r="C3" s="366"/>
      <c r="D3" s="366"/>
      <c r="E3" s="2533" t="s">
        <v>123</v>
      </c>
      <c r="F3" s="2650"/>
      <c r="G3" s="2534"/>
      <c r="H3" s="371"/>
    </row>
    <row r="4" spans="1:9" ht="13.2" thickBot="1" x14ac:dyDescent="0.3">
      <c r="A4" s="2651" t="s">
        <v>193</v>
      </c>
      <c r="B4" s="2652"/>
      <c r="C4" s="644"/>
      <c r="D4" s="644"/>
      <c r="E4" s="2653" t="s">
        <v>193</v>
      </c>
      <c r="F4" s="2653"/>
      <c r="G4" s="2654"/>
      <c r="H4" s="369"/>
    </row>
    <row r="5" spans="1:9" x14ac:dyDescent="0.25">
      <c r="A5" s="284"/>
      <c r="B5" s="379"/>
      <c r="C5" s="378"/>
      <c r="D5" s="285"/>
      <c r="E5" s="282" t="s">
        <v>9</v>
      </c>
      <c r="F5" s="2411">
        <f>SUM('13.sz.melléklet'!C19)</f>
        <v>81909000</v>
      </c>
      <c r="G5" s="727">
        <f>SUM('13.sz.melléklet'!C20)</f>
        <v>73858905</v>
      </c>
      <c r="H5" s="710">
        <f>SUM('13.sz.melléklet'!C21)</f>
        <v>62412</v>
      </c>
    </row>
    <row r="6" spans="1:9" x14ac:dyDescent="0.25">
      <c r="A6" s="51" t="s">
        <v>182</v>
      </c>
      <c r="B6" s="1260">
        <f>SUM('13.sz.melléklet'!C38)</f>
        <v>0</v>
      </c>
      <c r="C6" s="559">
        <f>SUM('13.sz.melléklet'!C39)</f>
        <v>0</v>
      </c>
      <c r="D6" s="712">
        <f>SUM('13.sz.melléklet'!C40)</f>
        <v>0</v>
      </c>
      <c r="E6" s="277" t="s">
        <v>322</v>
      </c>
      <c r="F6" s="2414">
        <f>SUM('13.sz.melléklet'!D19)</f>
        <v>17843000</v>
      </c>
      <c r="G6" s="728">
        <f>SUM('13.sz.melléklet'!D20)</f>
        <v>16176270</v>
      </c>
      <c r="H6" s="559">
        <f>SUM('13.sz.melléklet'!D21)</f>
        <v>17872</v>
      </c>
    </row>
    <row r="7" spans="1:9" x14ac:dyDescent="0.25">
      <c r="A7" s="51" t="s">
        <v>320</v>
      </c>
      <c r="B7" s="1260">
        <f>SUM('13.sz.melléklet'!D38)</f>
        <v>10180000</v>
      </c>
      <c r="C7" s="559">
        <f>SUM('13.sz.melléklet'!D39)</f>
        <v>10180000</v>
      </c>
      <c r="D7" s="712">
        <f>SUM('13.sz.melléklet'!D40)</f>
        <v>8790</v>
      </c>
      <c r="E7" s="277" t="s">
        <v>20</v>
      </c>
      <c r="F7" s="2414">
        <f>SUM('13.sz.melléklet'!E19)</f>
        <v>34622000</v>
      </c>
      <c r="G7" s="728">
        <f>SUM('13.sz.melléklet'!E20)</f>
        <v>32105423</v>
      </c>
      <c r="H7" s="559">
        <f>SUM('13.sz.melléklet'!E21)</f>
        <v>20927</v>
      </c>
    </row>
    <row r="8" spans="1:9" x14ac:dyDescent="0.25">
      <c r="A8" s="579" t="s">
        <v>437</v>
      </c>
      <c r="B8" s="1260"/>
      <c r="C8" s="559">
        <f>SUM('13.sz.melléklet'!F39)</f>
        <v>1127</v>
      </c>
      <c r="D8" s="712">
        <f>SUM('13.sz.melléklet'!F40)</f>
        <v>519</v>
      </c>
      <c r="E8" s="277" t="s">
        <v>323</v>
      </c>
      <c r="F8" s="2414"/>
      <c r="G8" s="344"/>
      <c r="H8" s="368"/>
    </row>
    <row r="9" spans="1:9" ht="13.2" thickBot="1" x14ac:dyDescent="0.3">
      <c r="A9" s="278"/>
      <c r="B9" s="2096"/>
      <c r="C9" s="380"/>
      <c r="D9" s="713"/>
      <c r="E9" s="277" t="s">
        <v>228</v>
      </c>
      <c r="F9" s="2414"/>
      <c r="G9" s="344"/>
      <c r="H9" s="380"/>
    </row>
    <row r="10" spans="1:9" ht="13.2" thickBot="1" x14ac:dyDescent="0.3">
      <c r="A10" s="279" t="s">
        <v>194</v>
      </c>
      <c r="B10" s="2097">
        <f>SUM(B6:B9)</f>
        <v>10180000</v>
      </c>
      <c r="C10" s="660">
        <f>SUM(C6:C9)</f>
        <v>10181127</v>
      </c>
      <c r="D10" s="721">
        <f>SUM(D5:D9)</f>
        <v>9309</v>
      </c>
      <c r="E10" s="288" t="s">
        <v>197</v>
      </c>
      <c r="F10" s="346">
        <f>SUM(F5:F9)</f>
        <v>134374000</v>
      </c>
      <c r="G10" s="729">
        <f>SUM(G5:G9)</f>
        <v>122140598</v>
      </c>
      <c r="H10" s="654">
        <f>SUM(H5:H9)</f>
        <v>101211</v>
      </c>
    </row>
    <row r="11" spans="1:9" x14ac:dyDescent="0.25">
      <c r="A11" s="54" t="s">
        <v>102</v>
      </c>
      <c r="B11" s="2098"/>
      <c r="C11" s="378"/>
      <c r="D11" s="285"/>
      <c r="E11" s="282" t="s">
        <v>198</v>
      </c>
      <c r="F11" s="2411">
        <f>SUM('13.a.sz. melléklet'!D9)</f>
        <v>1000000</v>
      </c>
      <c r="G11" s="337">
        <f>SUM('13.a.sz. melléklet'!E9)</f>
        <v>0</v>
      </c>
      <c r="H11" s="378"/>
    </row>
    <row r="12" spans="1:9" x14ac:dyDescent="0.25">
      <c r="A12" s="51" t="s">
        <v>321</v>
      </c>
      <c r="B12" s="1260"/>
      <c r="C12" s="368"/>
      <c r="D12" s="69"/>
      <c r="E12" s="277" t="s">
        <v>324</v>
      </c>
      <c r="F12" s="2414">
        <f>SUM('13.a.sz. melléklet'!I9)</f>
        <v>3749000</v>
      </c>
      <c r="G12" s="344">
        <f>SUM('13.a.sz. melléklet'!J9)</f>
        <v>500000</v>
      </c>
      <c r="H12" s="559">
        <f>SUM('13.sz.melléklet'!F21)</f>
        <v>2852</v>
      </c>
    </row>
    <row r="13" spans="1:9" ht="13.2" thickBot="1" x14ac:dyDescent="0.3">
      <c r="A13" s="332"/>
      <c r="B13" s="2099"/>
      <c r="C13" s="380"/>
      <c r="D13" s="713"/>
      <c r="E13" s="281" t="s">
        <v>304</v>
      </c>
      <c r="F13" s="2415"/>
      <c r="G13" s="730"/>
      <c r="H13" s="380"/>
    </row>
    <row r="14" spans="1:9" ht="13.2" thickBot="1" x14ac:dyDescent="0.3">
      <c r="A14" s="279" t="s">
        <v>13</v>
      </c>
      <c r="B14" s="1261">
        <f>SUM(B11:B12)</f>
        <v>0</v>
      </c>
      <c r="C14" s="643">
        <f>SUM(C12:C13)</f>
        <v>0</v>
      </c>
      <c r="D14" s="722">
        <f>SUM(D12:D13)</f>
        <v>0</v>
      </c>
      <c r="E14" s="288" t="s">
        <v>199</v>
      </c>
      <c r="F14" s="346">
        <f>SUM(F11:F13)</f>
        <v>4749000</v>
      </c>
      <c r="G14" s="729">
        <f>SUM(G11:G13)</f>
        <v>500000</v>
      </c>
      <c r="H14" s="737">
        <f>SUM(H11:H13)</f>
        <v>2852</v>
      </c>
    </row>
    <row r="15" spans="1:9" x14ac:dyDescent="0.25">
      <c r="A15" s="1100" t="s">
        <v>416</v>
      </c>
      <c r="B15" s="2099"/>
      <c r="C15" s="710">
        <f>SUM('13.sz.melléklet'!G35)</f>
        <v>183</v>
      </c>
      <c r="D15" s="285"/>
      <c r="E15" s="715"/>
      <c r="F15" s="2416"/>
      <c r="G15" s="731"/>
      <c r="H15" s="378"/>
    </row>
    <row r="16" spans="1:9" ht="13.2" thickBot="1" x14ac:dyDescent="0.3">
      <c r="A16" s="278" t="s">
        <v>195</v>
      </c>
      <c r="B16" s="2096">
        <f>SUM('13.sz.melléklet'!E38)</f>
        <v>128943000</v>
      </c>
      <c r="C16" s="552">
        <f>SUM('13.sz.melléklet'!E39)</f>
        <v>115708288</v>
      </c>
      <c r="D16" s="669">
        <f>SUM('13.sz.melléklet'!E40)</f>
        <v>95289</v>
      </c>
      <c r="E16" s="716"/>
      <c r="F16" s="453"/>
      <c r="G16" s="732"/>
      <c r="H16" s="380"/>
    </row>
    <row r="17" spans="1:8" ht="13.2" thickBot="1" x14ac:dyDescent="0.3">
      <c r="A17" s="279" t="s">
        <v>325</v>
      </c>
      <c r="B17" s="2097">
        <f>SUM(B16:B16)</f>
        <v>128943000</v>
      </c>
      <c r="C17" s="660">
        <f>SUM(C16+C15)</f>
        <v>115708471</v>
      </c>
      <c r="D17" s="660">
        <f>SUM(D16)</f>
        <v>95289</v>
      </c>
      <c r="E17" s="288" t="s">
        <v>126</v>
      </c>
      <c r="F17" s="346">
        <f>SUM(F15:F16)</f>
        <v>0</v>
      </c>
      <c r="G17" s="729">
        <f>SUM(G16)</f>
        <v>0</v>
      </c>
      <c r="H17" s="737">
        <f>SUM(H15:H16)</f>
        <v>0</v>
      </c>
    </row>
    <row r="18" spans="1:8" ht="13.2" thickBot="1" x14ac:dyDescent="0.3">
      <c r="B18" s="1402"/>
      <c r="C18" s="280"/>
      <c r="D18" s="60"/>
      <c r="F18" s="1402"/>
      <c r="H18" s="711"/>
    </row>
    <row r="19" spans="1:8" ht="13.2" thickBot="1" x14ac:dyDescent="0.3">
      <c r="A19" s="279"/>
      <c r="B19" s="2097"/>
      <c r="C19" s="292"/>
      <c r="D19" s="292"/>
      <c r="E19" s="288"/>
      <c r="F19" s="346"/>
      <c r="G19" s="729"/>
      <c r="H19" s="711"/>
    </row>
    <row r="20" spans="1:8" ht="13.2" thickBot="1" x14ac:dyDescent="0.3">
      <c r="A20" s="279" t="s">
        <v>196</v>
      </c>
      <c r="B20" s="2097">
        <f>B10+B14+B17</f>
        <v>139123000</v>
      </c>
      <c r="C20" s="660">
        <f>SUM(C17+C14+C10)</f>
        <v>125889598</v>
      </c>
      <c r="D20" s="660">
        <f>SUM(D10+D17)</f>
        <v>104598</v>
      </c>
      <c r="E20" s="288" t="s">
        <v>205</v>
      </c>
      <c r="F20" s="346">
        <f>SUM(+F14+F10)</f>
        <v>139123000</v>
      </c>
      <c r="G20" s="729">
        <f>SUM(G10+G14+G17)</f>
        <v>122640598</v>
      </c>
      <c r="H20" s="654">
        <f>SUM(H10+H14+H17)</f>
        <v>104063</v>
      </c>
    </row>
    <row r="21" spans="1:8" ht="13.2" thickBot="1" x14ac:dyDescent="0.3">
      <c r="A21" s="145"/>
      <c r="B21" s="2413"/>
      <c r="C21" s="290"/>
      <c r="D21" s="290"/>
      <c r="E21" s="291"/>
      <c r="F21" s="2417"/>
      <c r="G21" s="291"/>
      <c r="H21" s="372"/>
    </row>
    <row r="22" spans="1:8" ht="13.2" thickBot="1" x14ac:dyDescent="0.3">
      <c r="A22" s="2642" t="s">
        <v>56</v>
      </c>
      <c r="B22" s="2643"/>
      <c r="C22" s="642"/>
      <c r="D22" s="642"/>
      <c r="E22" s="2644" t="s">
        <v>56</v>
      </c>
      <c r="F22" s="2644"/>
      <c r="G22" s="2645"/>
      <c r="H22" s="711"/>
    </row>
    <row r="23" spans="1:8" ht="13.2" thickBot="1" x14ac:dyDescent="0.3">
      <c r="A23" s="284"/>
      <c r="B23" s="285"/>
      <c r="C23" s="60"/>
      <c r="D23" s="60"/>
      <c r="E23" s="283"/>
      <c r="G23" s="335"/>
      <c r="H23" s="372"/>
    </row>
    <row r="24" spans="1:8" x14ac:dyDescent="0.25">
      <c r="A24" s="284"/>
      <c r="B24" s="285"/>
      <c r="C24" s="378"/>
      <c r="D24" s="285"/>
      <c r="E24" s="717" t="s">
        <v>9</v>
      </c>
      <c r="F24" s="2418">
        <f>SUM('14.sz.melléklet'!C23)</f>
        <v>121916000</v>
      </c>
      <c r="G24" s="733">
        <f>SUM('14.sz.melléklet'!C24)</f>
        <v>117402138</v>
      </c>
      <c r="H24" s="710">
        <f>SUM('14.sz.melléklet'!C25)</f>
        <v>58463</v>
      </c>
    </row>
    <row r="25" spans="1:8" x14ac:dyDescent="0.25">
      <c r="A25" s="51" t="s">
        <v>182</v>
      </c>
      <c r="B25" s="1260"/>
      <c r="C25" s="368"/>
      <c r="D25" s="69"/>
      <c r="E25" s="277" t="s">
        <v>322</v>
      </c>
      <c r="F25" s="140">
        <f>SUM('14.sz.melléklet'!D23)</f>
        <v>25622000</v>
      </c>
      <c r="G25" s="728">
        <f>SUM('14.sz.melléklet'!D24)</f>
        <v>24707037</v>
      </c>
      <c r="H25" s="559">
        <f>SUM('14.sz.melléklet'!D25)</f>
        <v>16570</v>
      </c>
    </row>
    <row r="26" spans="1:8" ht="13.2" thickBot="1" x14ac:dyDescent="0.3">
      <c r="A26" s="51" t="s">
        <v>320</v>
      </c>
      <c r="B26" s="1260">
        <f>SUM('14.sz.melléklet'!C46)</f>
        <v>2898000</v>
      </c>
      <c r="C26" s="559">
        <f>SUM('14.sz.melléklet'!C47)</f>
        <v>2898000</v>
      </c>
      <c r="D26" s="712">
        <f>SUM('14.sz.melléklet'!C48)</f>
        <v>9243</v>
      </c>
      <c r="E26" s="277" t="s">
        <v>20</v>
      </c>
      <c r="F26" s="140">
        <f>SUM('14.sz.melléklet'!E23)</f>
        <v>47559000</v>
      </c>
      <c r="G26" s="728">
        <f>SUM('14.sz.melléklet'!E24)</f>
        <v>47559000</v>
      </c>
      <c r="H26" s="552">
        <f>SUM('14.sz.melléklet'!E25)</f>
        <v>20878</v>
      </c>
    </row>
    <row r="27" spans="1:8" x14ac:dyDescent="0.25">
      <c r="A27" s="579" t="s">
        <v>438</v>
      </c>
      <c r="B27" s="1260"/>
      <c r="C27" s="368"/>
      <c r="D27" s="712">
        <f>SUM('14.sz.melléklet'!D48)</f>
        <v>40</v>
      </c>
      <c r="E27" s="277" t="s">
        <v>323</v>
      </c>
      <c r="F27" s="2414"/>
      <c r="G27" s="344"/>
      <c r="H27" s="371"/>
    </row>
    <row r="28" spans="1:8" ht="13.2" thickBot="1" x14ac:dyDescent="0.3">
      <c r="A28" s="278"/>
      <c r="B28" s="2096"/>
      <c r="C28" s="380"/>
      <c r="D28" s="713"/>
      <c r="E28" s="277" t="s">
        <v>228</v>
      </c>
      <c r="F28" s="2414"/>
      <c r="G28" s="344"/>
      <c r="H28" s="369"/>
    </row>
    <row r="29" spans="1:8" ht="13.2" thickBot="1" x14ac:dyDescent="0.3">
      <c r="A29" s="279" t="s">
        <v>194</v>
      </c>
      <c r="B29" s="2097">
        <f>SUM(B25:B28)</f>
        <v>2898000</v>
      </c>
      <c r="C29" s="660">
        <f>SUM(C26:C28)</f>
        <v>2898000</v>
      </c>
      <c r="D29" s="721">
        <f>SUM(D26:D28)</f>
        <v>9283</v>
      </c>
      <c r="E29" s="288" t="s">
        <v>197</v>
      </c>
      <c r="F29" s="346">
        <f>SUM(F24:F28)</f>
        <v>195097000</v>
      </c>
      <c r="G29" s="729">
        <f>SUM(G24:G28)</f>
        <v>189668175</v>
      </c>
      <c r="H29" s="654">
        <f>SUM(H24:H28)</f>
        <v>95911</v>
      </c>
    </row>
    <row r="30" spans="1:8" x14ac:dyDescent="0.25">
      <c r="A30" s="54" t="s">
        <v>102</v>
      </c>
      <c r="B30" s="2098"/>
      <c r="C30" s="378"/>
      <c r="D30" s="285"/>
      <c r="E30" s="282" t="s">
        <v>198</v>
      </c>
      <c r="F30" s="2411">
        <f>SUM('14.a.sz. melléklet'!D18)</f>
        <v>0</v>
      </c>
      <c r="G30" s="337">
        <f>SUM('14.a.sz. melléklet'!E18)</f>
        <v>0</v>
      </c>
      <c r="H30" s="371"/>
    </row>
    <row r="31" spans="1:8" x14ac:dyDescent="0.25">
      <c r="A31" s="51" t="s">
        <v>321</v>
      </c>
      <c r="B31" s="1260"/>
      <c r="C31" s="368"/>
      <c r="D31" s="69"/>
      <c r="E31" s="277" t="s">
        <v>324</v>
      </c>
      <c r="F31" s="2414">
        <f>SUM('14.a.sz. melléklet'!I18)</f>
        <v>6056000</v>
      </c>
      <c r="G31" s="344">
        <f>SUM('14.a.sz. melléklet'!J18)</f>
        <v>5156000</v>
      </c>
      <c r="H31" s="559">
        <f>SUM('14.sz.melléklet'!F25)</f>
        <v>1521</v>
      </c>
    </row>
    <row r="32" spans="1:8" ht="13.2" thickBot="1" x14ac:dyDescent="0.3">
      <c r="A32" s="332"/>
      <c r="B32" s="2099"/>
      <c r="C32" s="380"/>
      <c r="D32" s="713"/>
      <c r="E32" s="281" t="s">
        <v>304</v>
      </c>
      <c r="F32" s="2415"/>
      <c r="G32" s="730"/>
      <c r="H32" s="369"/>
    </row>
    <row r="33" spans="1:8" ht="13.2" thickBot="1" x14ac:dyDescent="0.3">
      <c r="A33" s="279" t="s">
        <v>13</v>
      </c>
      <c r="B33" s="1261">
        <f>SUM(B30:B31)</f>
        <v>0</v>
      </c>
      <c r="C33" s="643">
        <f>SUM(C31:C32)</f>
        <v>0</v>
      </c>
      <c r="D33" s="722">
        <f>SUM(D32)</f>
        <v>0</v>
      </c>
      <c r="E33" s="288" t="s">
        <v>199</v>
      </c>
      <c r="F33" s="346">
        <f>SUM(F30:F32)</f>
        <v>6056000</v>
      </c>
      <c r="G33" s="729">
        <f>SUM(G30:G32)</f>
        <v>5156000</v>
      </c>
      <c r="H33" s="737">
        <f>SUM(H30:H32)</f>
        <v>1521</v>
      </c>
    </row>
    <row r="34" spans="1:8" x14ac:dyDescent="0.25">
      <c r="A34" s="561" t="s">
        <v>393</v>
      </c>
      <c r="B34" s="2099"/>
      <c r="C34" s="378">
        <v>1</v>
      </c>
      <c r="D34" s="285">
        <v>1</v>
      </c>
      <c r="E34" s="715"/>
      <c r="F34" s="2416"/>
      <c r="G34" s="731"/>
      <c r="H34" s="371"/>
    </row>
    <row r="35" spans="1:8" ht="13.2" thickBot="1" x14ac:dyDescent="0.3">
      <c r="A35" s="278" t="s">
        <v>195</v>
      </c>
      <c r="B35" s="2096">
        <f>SUM('14.sz.melléklet'!E46)</f>
        <v>198255000</v>
      </c>
      <c r="C35" s="552">
        <f>SUM('14.sz.melléklet'!D80)</f>
        <v>192746174</v>
      </c>
      <c r="D35" s="669">
        <f>SUM('14.sz.melléklet'!E48)-1</f>
        <v>88211</v>
      </c>
      <c r="E35" s="716"/>
      <c r="F35" s="453"/>
      <c r="G35" s="732"/>
      <c r="H35" s="369"/>
    </row>
    <row r="36" spans="1:8" ht="13.2" thickBot="1" x14ac:dyDescent="0.3">
      <c r="A36" s="279" t="s">
        <v>325</v>
      </c>
      <c r="B36" s="2097">
        <f>SUM(B35:B35)</f>
        <v>198255000</v>
      </c>
      <c r="C36" s="292">
        <f>SUM(C34:C35)</f>
        <v>192746175</v>
      </c>
      <c r="D36" s="292">
        <f>SUM(D34:D35)</f>
        <v>88212</v>
      </c>
      <c r="E36" s="288" t="s">
        <v>126</v>
      </c>
      <c r="F36" s="346">
        <f>SUM(F35)</f>
        <v>0</v>
      </c>
      <c r="G36" s="729">
        <f>SUM(G35)</f>
        <v>0</v>
      </c>
      <c r="H36" s="737">
        <f>SUM(H35)</f>
        <v>0</v>
      </c>
    </row>
    <row r="37" spans="1:8" ht="13.2" thickBot="1" x14ac:dyDescent="0.3">
      <c r="B37" s="1402"/>
      <c r="C37" s="60"/>
      <c r="D37" s="60"/>
      <c r="F37" s="1402"/>
      <c r="H37" s="371"/>
    </row>
    <row r="38" spans="1:8" ht="13.2" thickBot="1" x14ac:dyDescent="0.3">
      <c r="A38" s="279"/>
      <c r="B38" s="2097"/>
      <c r="C38" s="292"/>
      <c r="D38" s="292"/>
      <c r="E38" s="288"/>
      <c r="F38" s="346"/>
      <c r="G38" s="729"/>
      <c r="H38" s="369"/>
    </row>
    <row r="39" spans="1:8" ht="13.2" thickBot="1" x14ac:dyDescent="0.3">
      <c r="A39" s="279" t="s">
        <v>196</v>
      </c>
      <c r="B39" s="2097">
        <f>B29+B33+B36</f>
        <v>201153000</v>
      </c>
      <c r="C39" s="660">
        <f>SUM(C36+C33+C29)</f>
        <v>195644175</v>
      </c>
      <c r="D39" s="660">
        <f>SUM(D29+D36)</f>
        <v>97495</v>
      </c>
      <c r="E39" s="288" t="s">
        <v>205</v>
      </c>
      <c r="F39" s="346">
        <f>SUM(+F33+F29)</f>
        <v>201153000</v>
      </c>
      <c r="G39" s="729">
        <f>G29+G33+G35+G36</f>
        <v>194824175</v>
      </c>
      <c r="H39" s="654">
        <f>SUM(H29+H33+H36)</f>
        <v>97432</v>
      </c>
    </row>
    <row r="40" spans="1:8" ht="13.2" thickBot="1" x14ac:dyDescent="0.3">
      <c r="A40" s="133"/>
      <c r="B40" s="292"/>
      <c r="C40" s="292"/>
      <c r="D40" s="292"/>
      <c r="E40" s="293"/>
      <c r="F40" s="293"/>
      <c r="G40" s="293"/>
      <c r="H40" s="372"/>
    </row>
    <row r="41" spans="1:8" ht="13.2" thickBot="1" x14ac:dyDescent="0.3">
      <c r="A41" s="2642" t="s">
        <v>203</v>
      </c>
      <c r="B41" s="2643"/>
      <c r="C41" s="642"/>
      <c r="D41" s="642"/>
      <c r="E41" s="2644" t="s">
        <v>203</v>
      </c>
      <c r="F41" s="2644"/>
      <c r="G41" s="2645"/>
      <c r="H41" s="711"/>
    </row>
    <row r="42" spans="1:8" ht="13.2" thickBot="1" x14ac:dyDescent="0.3">
      <c r="A42" s="284"/>
      <c r="B42" s="285"/>
      <c r="C42" s="60"/>
      <c r="D42" s="60"/>
      <c r="E42" s="282"/>
      <c r="F42" s="8"/>
      <c r="G42" s="337"/>
      <c r="H42" s="371"/>
    </row>
    <row r="43" spans="1:8" x14ac:dyDescent="0.25">
      <c r="A43" s="284"/>
      <c r="B43" s="285"/>
      <c r="C43" s="378"/>
      <c r="D43" s="285"/>
      <c r="E43" s="282" t="s">
        <v>9</v>
      </c>
      <c r="F43" s="2411">
        <f>SUM('15.sz.melléklet'!C19)</f>
        <v>28137000</v>
      </c>
      <c r="G43" s="727">
        <f>SUM('15.sz.melléklet'!C20)</f>
        <v>28137021</v>
      </c>
      <c r="H43" s="559">
        <f>SUM('15.sz.melléklet'!C21)</f>
        <v>15711</v>
      </c>
    </row>
    <row r="44" spans="1:8" x14ac:dyDescent="0.25">
      <c r="A44" s="51" t="s">
        <v>182</v>
      </c>
      <c r="B44" s="1260"/>
      <c r="C44" s="368"/>
      <c r="D44" s="69"/>
      <c r="E44" s="277" t="s">
        <v>322</v>
      </c>
      <c r="F44" s="2414">
        <f>SUM('15.sz.melléklet'!D19)</f>
        <v>7220000</v>
      </c>
      <c r="G44" s="728">
        <f>SUM('15.sz.melléklet'!D20)</f>
        <v>7220005</v>
      </c>
      <c r="H44" s="559">
        <f>SUM('15.sz.melléklet'!D21)</f>
        <v>4745</v>
      </c>
    </row>
    <row r="45" spans="1:8" x14ac:dyDescent="0.25">
      <c r="A45" s="51" t="s">
        <v>320</v>
      </c>
      <c r="B45" s="1260">
        <f>SUM('15.sz.melléklet'!C38)</f>
        <v>6855000</v>
      </c>
      <c r="C45" s="559">
        <f>SUM('15.sz.melléklet'!C39)</f>
        <v>6855000</v>
      </c>
      <c r="D45" s="712">
        <f>SUM('15.sz.melléklet'!C40)</f>
        <v>3922</v>
      </c>
      <c r="E45" s="277" t="s">
        <v>20</v>
      </c>
      <c r="F45" s="2414">
        <f>SUM('15.sz.melléklet'!E19)</f>
        <v>27860000</v>
      </c>
      <c r="G45" s="728">
        <f>SUM('15.sz.melléklet'!E20)</f>
        <v>27406000</v>
      </c>
      <c r="H45" s="559">
        <f>SUM('15.sz.melléklet'!E21)</f>
        <v>13738</v>
      </c>
    </row>
    <row r="46" spans="1:8" x14ac:dyDescent="0.25">
      <c r="A46" s="579" t="s">
        <v>439</v>
      </c>
      <c r="B46" s="1260">
        <f>SUM('15.sz.melléklet'!E38)</f>
        <v>1300000</v>
      </c>
      <c r="C46" s="368"/>
      <c r="D46" s="712">
        <f>SUM('15.sz.melléklet'!E40)</f>
        <v>1617</v>
      </c>
      <c r="E46" s="277" t="s">
        <v>323</v>
      </c>
      <c r="F46" s="2414"/>
      <c r="G46" s="344"/>
      <c r="H46" s="368"/>
    </row>
    <row r="47" spans="1:8" ht="13.2" thickBot="1" x14ac:dyDescent="0.3">
      <c r="A47" s="278"/>
      <c r="B47" s="2096"/>
      <c r="C47" s="380"/>
      <c r="D47" s="713"/>
      <c r="E47" s="277" t="s">
        <v>228</v>
      </c>
      <c r="F47" s="2414"/>
      <c r="G47" s="344"/>
      <c r="H47" s="369"/>
    </row>
    <row r="48" spans="1:8" ht="13.2" thickBot="1" x14ac:dyDescent="0.3">
      <c r="A48" s="279" t="s">
        <v>194</v>
      </c>
      <c r="B48" s="2097">
        <f>SUM(B44:B47)</f>
        <v>8155000</v>
      </c>
      <c r="C48" s="660">
        <f>SUM(C45:C47)</f>
        <v>6855000</v>
      </c>
      <c r="D48" s="721">
        <f>SUM(D44:D47)</f>
        <v>5539</v>
      </c>
      <c r="E48" s="288" t="s">
        <v>197</v>
      </c>
      <c r="F48" s="346">
        <f>SUM(F43:F47)</f>
        <v>63217000</v>
      </c>
      <c r="G48" s="729">
        <f>SUM(G43:G47)</f>
        <v>62763026</v>
      </c>
      <c r="H48" s="654">
        <f>SUM(H43:H47)</f>
        <v>34194</v>
      </c>
    </row>
    <row r="49" spans="1:8" x14ac:dyDescent="0.25">
      <c r="A49" s="54" t="s">
        <v>102</v>
      </c>
      <c r="B49" s="2098"/>
      <c r="C49" s="378"/>
      <c r="D49" s="285"/>
      <c r="E49" s="282" t="s">
        <v>198</v>
      </c>
      <c r="F49" s="2411">
        <f>SUM('15.a.sz.melléklet'!D12)</f>
        <v>0</v>
      </c>
      <c r="G49" s="337">
        <f>SUM('15.a.sz.melléklet'!E12)</f>
        <v>0</v>
      </c>
      <c r="H49" s="371"/>
    </row>
    <row r="50" spans="1:8" x14ac:dyDescent="0.25">
      <c r="A50" s="51" t="s">
        <v>321</v>
      </c>
      <c r="B50" s="1260"/>
      <c r="C50" s="368"/>
      <c r="D50" s="69"/>
      <c r="E50" s="277" t="s">
        <v>324</v>
      </c>
      <c r="F50" s="2414">
        <f>SUM('15.a.sz.melléklet'!I12)</f>
        <v>3790000</v>
      </c>
      <c r="G50" s="344">
        <f>SUM('15.a.sz.melléklet'!J12)</f>
        <v>2630433</v>
      </c>
      <c r="H50" s="559">
        <f>SUM('15.sz.melléklet'!F21)</f>
        <v>2187</v>
      </c>
    </row>
    <row r="51" spans="1:8" ht="13.2" thickBot="1" x14ac:dyDescent="0.3">
      <c r="A51" s="332"/>
      <c r="B51" s="2099"/>
      <c r="C51" s="380"/>
      <c r="D51" s="713"/>
      <c r="E51" s="281" t="s">
        <v>304</v>
      </c>
      <c r="F51" s="2415"/>
      <c r="G51" s="730"/>
      <c r="H51" s="369"/>
    </row>
    <row r="52" spans="1:8" ht="13.2" thickBot="1" x14ac:dyDescent="0.3">
      <c r="A52" s="279" t="s">
        <v>13</v>
      </c>
      <c r="B52" s="1261">
        <f>SUM(B49:B50)</f>
        <v>0</v>
      </c>
      <c r="C52" s="643">
        <f>SUM(C49:C51)</f>
        <v>0</v>
      </c>
      <c r="D52" s="60">
        <v>0</v>
      </c>
      <c r="E52" s="288" t="s">
        <v>199</v>
      </c>
      <c r="F52" s="346">
        <f>SUM(F49:F51)</f>
        <v>3790000</v>
      </c>
      <c r="G52" s="729">
        <f>SUM(G49:G51)</f>
        <v>2630433</v>
      </c>
      <c r="H52" s="737">
        <f>SUM(H49:H51)</f>
        <v>2187</v>
      </c>
    </row>
    <row r="53" spans="1:8" x14ac:dyDescent="0.25">
      <c r="A53" s="333"/>
      <c r="B53" s="2099"/>
      <c r="C53" s="238"/>
      <c r="D53" s="714"/>
      <c r="E53" s="715"/>
      <c r="F53" s="2416"/>
      <c r="G53" s="731"/>
      <c r="H53" s="371"/>
    </row>
    <row r="54" spans="1:8" ht="13.2" thickBot="1" x14ac:dyDescent="0.3">
      <c r="A54" s="278" t="s">
        <v>195</v>
      </c>
      <c r="B54" s="2096">
        <f>SUM('15.sz.melléklet'!D38)</f>
        <v>58852000</v>
      </c>
      <c r="C54" s="238">
        <f>SUM('15.sz.melléklet'!D39)</f>
        <v>58018459</v>
      </c>
      <c r="D54" s="669">
        <f>SUM('15.sz.melléklet'!D40)</f>
        <v>31196</v>
      </c>
      <c r="E54" s="716"/>
      <c r="F54" s="453"/>
      <c r="G54" s="732"/>
      <c r="H54" s="369"/>
    </row>
    <row r="55" spans="1:8" ht="13.2" thickBot="1" x14ac:dyDescent="0.3">
      <c r="A55" s="279" t="s">
        <v>325</v>
      </c>
      <c r="B55" s="2097">
        <f>SUM(B54:B54)</f>
        <v>58852000</v>
      </c>
      <c r="C55" s="660">
        <f>SUM(C54)</f>
        <v>58018459</v>
      </c>
      <c r="D55" s="723">
        <f>SUM(D54)</f>
        <v>31196</v>
      </c>
      <c r="E55" s="288" t="s">
        <v>126</v>
      </c>
      <c r="F55" s="346">
        <f>SUM(F54)</f>
        <v>0</v>
      </c>
      <c r="G55" s="729">
        <f>SUM(G54)</f>
        <v>0</v>
      </c>
      <c r="H55" s="711">
        <v>0</v>
      </c>
    </row>
    <row r="56" spans="1:8" ht="13.2" thickBot="1" x14ac:dyDescent="0.3">
      <c r="B56" s="1402"/>
      <c r="C56" s="60"/>
      <c r="D56" s="60"/>
      <c r="F56" s="1402"/>
      <c r="H56" s="371"/>
    </row>
    <row r="57" spans="1:8" ht="13.2" thickBot="1" x14ac:dyDescent="0.3">
      <c r="A57" s="279"/>
      <c r="B57" s="2097"/>
      <c r="C57" s="292"/>
      <c r="D57" s="292"/>
      <c r="E57" s="288"/>
      <c r="F57" s="346"/>
      <c r="G57" s="729"/>
      <c r="H57" s="369"/>
    </row>
    <row r="58" spans="1:8" ht="13.2" thickBot="1" x14ac:dyDescent="0.3">
      <c r="A58" s="279" t="s">
        <v>196</v>
      </c>
      <c r="B58" s="2097">
        <f>B48+B52+B55</f>
        <v>67007000</v>
      </c>
      <c r="C58" s="660">
        <f>SUM(C55+C52+C48)</f>
        <v>64873459</v>
      </c>
      <c r="D58" s="660">
        <f>SUM(D48+D55)</f>
        <v>36735</v>
      </c>
      <c r="E58" s="288" t="s">
        <v>205</v>
      </c>
      <c r="F58" s="346">
        <f>SUM(F55+F52+F48)</f>
        <v>67007000</v>
      </c>
      <c r="G58" s="729">
        <f>G48+G52+G54+G55</f>
        <v>65393459</v>
      </c>
      <c r="H58" s="654">
        <f>SUM(H48+H52+H55)</f>
        <v>36381</v>
      </c>
    </row>
    <row r="59" spans="1:8" ht="13.2" thickBot="1" x14ac:dyDescent="0.3">
      <c r="A59" s="133"/>
      <c r="B59" s="292"/>
      <c r="C59" s="292"/>
      <c r="D59" s="292"/>
      <c r="E59" s="293"/>
      <c r="F59" s="293"/>
      <c r="G59" s="293"/>
      <c r="H59" s="372"/>
    </row>
    <row r="60" spans="1:8" ht="13.2" thickBot="1" x14ac:dyDescent="0.3">
      <c r="A60" s="2642" t="s">
        <v>204</v>
      </c>
      <c r="B60" s="2643"/>
      <c r="C60" s="642"/>
      <c r="D60" s="642"/>
      <c r="E60" s="2644" t="s">
        <v>204</v>
      </c>
      <c r="F60" s="2644"/>
      <c r="G60" s="2645"/>
      <c r="H60" s="711"/>
    </row>
    <row r="61" spans="1:8" ht="13.2" thickBot="1" x14ac:dyDescent="0.3">
      <c r="A61" s="284"/>
      <c r="B61" s="285"/>
      <c r="C61" s="60"/>
      <c r="D61" s="60"/>
      <c r="E61" s="283"/>
      <c r="G61" s="335"/>
      <c r="H61" s="372"/>
    </row>
    <row r="62" spans="1:8" x14ac:dyDescent="0.25">
      <c r="A62" s="284"/>
      <c r="B62" s="285"/>
      <c r="C62" s="378"/>
      <c r="D62" s="285"/>
      <c r="E62" s="717" t="s">
        <v>9</v>
      </c>
      <c r="F62" s="2418">
        <f>SUM('16.sz. melléklet'!C23)</f>
        <v>41203000</v>
      </c>
      <c r="G62" s="733">
        <f>SUM('16.sz. melléklet'!C24)</f>
        <v>41210382</v>
      </c>
      <c r="H62" s="710">
        <f>SUM('16.sz. melléklet'!C25)</f>
        <v>35111</v>
      </c>
    </row>
    <row r="63" spans="1:8" x14ac:dyDescent="0.25">
      <c r="A63" s="51" t="s">
        <v>182</v>
      </c>
      <c r="B63" s="1260"/>
      <c r="C63" s="368"/>
      <c r="D63" s="69"/>
      <c r="E63" s="277" t="s">
        <v>322</v>
      </c>
      <c r="F63" s="140">
        <f>SUM('16.sz. melléklet'!D23)</f>
        <v>8437000</v>
      </c>
      <c r="G63" s="728">
        <f>SUM('16.sz. melléklet'!D24)</f>
        <v>8438032</v>
      </c>
      <c r="H63" s="559">
        <f>SUM('16.sz. melléklet'!D25)</f>
        <v>9063</v>
      </c>
    </row>
    <row r="64" spans="1:8" x14ac:dyDescent="0.25">
      <c r="A64" s="51" t="s">
        <v>320</v>
      </c>
      <c r="B64" s="1260">
        <f>SUM('16.sz. melléklet'!C42)</f>
        <v>267000</v>
      </c>
      <c r="C64" s="559">
        <f>SUM('16.sz. melléklet'!C43)</f>
        <v>0</v>
      </c>
      <c r="D64" s="712">
        <f>SUM('16.sz. melléklet'!C44)</f>
        <v>523</v>
      </c>
      <c r="E64" s="277" t="s">
        <v>20</v>
      </c>
      <c r="F64" s="140">
        <f>SUM('16.sz. melléklet'!E23)</f>
        <v>14830000</v>
      </c>
      <c r="G64" s="728">
        <f>SUM('16.sz. melléklet'!E24)</f>
        <v>14803200</v>
      </c>
      <c r="H64" s="559">
        <f>SUM('16.sz. melléklet'!E25)</f>
        <v>20840</v>
      </c>
    </row>
    <row r="65" spans="1:8" x14ac:dyDescent="0.25">
      <c r="A65" s="51"/>
      <c r="B65" s="1260"/>
      <c r="C65" s="368"/>
      <c r="D65" s="69"/>
      <c r="E65" s="277" t="s">
        <v>323</v>
      </c>
      <c r="F65" s="140"/>
      <c r="G65" s="344"/>
      <c r="H65" s="368"/>
    </row>
    <row r="66" spans="1:8" ht="13.2" thickBot="1" x14ac:dyDescent="0.3">
      <c r="A66" s="278"/>
      <c r="B66" s="2096"/>
      <c r="C66" s="380"/>
      <c r="D66" s="713"/>
      <c r="E66" s="716" t="s">
        <v>228</v>
      </c>
      <c r="F66" s="453"/>
      <c r="G66" s="732"/>
      <c r="H66" s="380"/>
    </row>
    <row r="67" spans="1:8" ht="13.2" thickBot="1" x14ac:dyDescent="0.3">
      <c r="A67" s="279" t="s">
        <v>194</v>
      </c>
      <c r="B67" s="2097">
        <f>SUM(B63:B66)</f>
        <v>267000</v>
      </c>
      <c r="C67" s="660">
        <f>SUM(C64:C66)</f>
        <v>0</v>
      </c>
      <c r="D67" s="724">
        <f>SUM(D62:D66)</f>
        <v>523</v>
      </c>
      <c r="E67" s="288" t="s">
        <v>197</v>
      </c>
      <c r="F67" s="346">
        <f>SUM(F62:F66)</f>
        <v>64470000</v>
      </c>
      <c r="G67" s="729">
        <f>SUM(G62:G66)</f>
        <v>64451614</v>
      </c>
      <c r="H67" s="654">
        <f>SUM(H62:H66)</f>
        <v>65014</v>
      </c>
    </row>
    <row r="68" spans="1:8" x14ac:dyDescent="0.25">
      <c r="A68" s="54" t="s">
        <v>102</v>
      </c>
      <c r="B68" s="2098"/>
      <c r="C68" s="378"/>
      <c r="D68" s="285"/>
      <c r="E68" s="282" t="s">
        <v>198</v>
      </c>
      <c r="F68" s="2411">
        <f>SUM('16.a.sz. melléklet'!D10)</f>
        <v>0</v>
      </c>
      <c r="G68" s="337">
        <f>SUM('16.a.sz. melléklet'!E10)</f>
        <v>0</v>
      </c>
      <c r="H68" s="371"/>
    </row>
    <row r="69" spans="1:8" x14ac:dyDescent="0.25">
      <c r="A69" s="51" t="s">
        <v>321</v>
      </c>
      <c r="B69" s="1260"/>
      <c r="C69" s="368"/>
      <c r="D69" s="69"/>
      <c r="E69" s="277" t="s">
        <v>324</v>
      </c>
      <c r="F69" s="2414">
        <f>SUM('16.a.sz. melléklet'!I10)</f>
        <v>1210000</v>
      </c>
      <c r="G69" s="344">
        <f>SUM('16.a.sz. melléklet'!J10)</f>
        <v>960000</v>
      </c>
      <c r="H69" s="559">
        <f>SUM('16.sz. melléklet'!F25)</f>
        <v>999</v>
      </c>
    </row>
    <row r="70" spans="1:8" ht="13.2" thickBot="1" x14ac:dyDescent="0.3">
      <c r="A70" s="332"/>
      <c r="B70" s="2099"/>
      <c r="C70" s="380"/>
      <c r="D70" s="713"/>
      <c r="E70" s="281" t="s">
        <v>304</v>
      </c>
      <c r="F70" s="2415"/>
      <c r="G70" s="730"/>
      <c r="H70" s="369"/>
    </row>
    <row r="71" spans="1:8" ht="13.2" thickBot="1" x14ac:dyDescent="0.3">
      <c r="A71" s="279" t="s">
        <v>13</v>
      </c>
      <c r="B71" s="1261">
        <f>SUM(B68:B69)</f>
        <v>0</v>
      </c>
      <c r="C71" s="643">
        <f>SUM(C69:C70)</f>
        <v>0</v>
      </c>
      <c r="D71" s="60">
        <v>0</v>
      </c>
      <c r="E71" s="288" t="s">
        <v>199</v>
      </c>
      <c r="F71" s="346">
        <f>SUM(F68:F70)</f>
        <v>1210000</v>
      </c>
      <c r="G71" s="729">
        <f>SUM(G68:G70)</f>
        <v>960000</v>
      </c>
      <c r="H71" s="737">
        <f>SUM(H68:H70)</f>
        <v>999</v>
      </c>
    </row>
    <row r="72" spans="1:8" x14ac:dyDescent="0.25">
      <c r="A72" s="333"/>
      <c r="B72" s="2099"/>
      <c r="C72" s="60"/>
      <c r="D72" s="285"/>
      <c r="E72" s="715"/>
      <c r="F72" s="2416"/>
      <c r="G72" s="731"/>
      <c r="H72" s="371"/>
    </row>
    <row r="73" spans="1:8" ht="13.2" thickBot="1" x14ac:dyDescent="0.3">
      <c r="A73" s="278" t="s">
        <v>195</v>
      </c>
      <c r="B73" s="2096">
        <f>SUM('16.sz. melléklet'!D42)</f>
        <v>65413000</v>
      </c>
      <c r="C73" s="238">
        <f>SUM('16.sz. melléklet'!D43)</f>
        <v>65661861</v>
      </c>
      <c r="D73" s="669"/>
      <c r="E73" s="716"/>
      <c r="F73" s="453"/>
      <c r="G73" s="732"/>
      <c r="H73" s="369"/>
    </row>
    <row r="74" spans="1:8" ht="13.2" thickBot="1" x14ac:dyDescent="0.3">
      <c r="A74" s="279" t="s">
        <v>325</v>
      </c>
      <c r="B74" s="2097">
        <f>SUM(B73:B73)</f>
        <v>65413000</v>
      </c>
      <c r="C74" s="292">
        <f>SUM(C72:C73)</f>
        <v>65661861</v>
      </c>
      <c r="D74" s="723">
        <f>SUM('16.sz. melléklet'!D44)</f>
        <v>66464</v>
      </c>
      <c r="E74" s="288" t="s">
        <v>126</v>
      </c>
      <c r="F74" s="346">
        <f>SUM(F72:F73)</f>
        <v>0</v>
      </c>
      <c r="G74" s="729">
        <f>SUM(G73)</f>
        <v>0</v>
      </c>
      <c r="H74" s="711">
        <v>0</v>
      </c>
    </row>
    <row r="75" spans="1:8" ht="13.2" thickBot="1" x14ac:dyDescent="0.3">
      <c r="B75" s="1402"/>
      <c r="C75" s="60"/>
      <c r="D75" s="60"/>
      <c r="F75" s="1402"/>
      <c r="H75" s="371"/>
    </row>
    <row r="76" spans="1:8" ht="13.2" thickBot="1" x14ac:dyDescent="0.3">
      <c r="A76" s="279"/>
      <c r="B76" s="2097"/>
      <c r="C76" s="292"/>
      <c r="D76" s="292"/>
      <c r="E76" s="288"/>
      <c r="F76" s="346"/>
      <c r="G76" s="729"/>
      <c r="H76" s="369"/>
    </row>
    <row r="77" spans="1:8" ht="13.2" thickBot="1" x14ac:dyDescent="0.3">
      <c r="A77" s="279" t="s">
        <v>196</v>
      </c>
      <c r="B77" s="2097">
        <f>B67+B71+B74</f>
        <v>65680000</v>
      </c>
      <c r="C77" s="660">
        <f>SUM(C74+C71+C67)</f>
        <v>65661861</v>
      </c>
      <c r="D77" s="660">
        <f>SUM(D74+D71+D67)</f>
        <v>66987</v>
      </c>
      <c r="E77" s="288" t="s">
        <v>205</v>
      </c>
      <c r="F77" s="346">
        <f>SUM(+F71+F67)</f>
        <v>65680000</v>
      </c>
      <c r="G77" s="729">
        <f>G67+G71+G73+G74</f>
        <v>65411614</v>
      </c>
      <c r="H77" s="654">
        <f>SUM(H67+H71+H74)</f>
        <v>66013</v>
      </c>
    </row>
    <row r="78" spans="1:8" ht="6.75" customHeight="1" thickBot="1" x14ac:dyDescent="0.3">
      <c r="A78" s="133"/>
      <c r="B78" s="292"/>
      <c r="C78" s="292"/>
      <c r="D78" s="292"/>
      <c r="E78" s="293"/>
      <c r="F78" s="293"/>
      <c r="G78" s="293"/>
      <c r="H78" s="371"/>
    </row>
    <row r="79" spans="1:8" ht="13.2" thickBot="1" x14ac:dyDescent="0.3">
      <c r="A79" s="2646" t="s">
        <v>114</v>
      </c>
      <c r="B79" s="2647"/>
      <c r="C79" s="643"/>
      <c r="D79" s="725"/>
      <c r="E79" s="2648" t="s">
        <v>114</v>
      </c>
      <c r="F79" s="2648"/>
      <c r="G79" s="2649"/>
      <c r="H79" s="369"/>
    </row>
    <row r="80" spans="1:8" x14ac:dyDescent="0.25">
      <c r="A80" s="284"/>
      <c r="B80" s="285"/>
      <c r="C80" s="378"/>
      <c r="D80" s="285"/>
      <c r="E80" s="282" t="s">
        <v>9</v>
      </c>
      <c r="F80" s="2411">
        <f>SUM('6. sz.melléklet'!C132)</f>
        <v>47666000</v>
      </c>
      <c r="G80" s="8">
        <f>SUM('6. sz.melléklet'!C133)</f>
        <v>47666108</v>
      </c>
      <c r="H80" s="378" t="e">
        <f>SUM('6. sz.melléklet'!C134)</f>
        <v>#REF!</v>
      </c>
    </row>
    <row r="81" spans="1:8" x14ac:dyDescent="0.25">
      <c r="A81" s="51" t="s">
        <v>182</v>
      </c>
      <c r="B81" s="1260">
        <f>SUM('5.a.sz. melléklet'!D89)</f>
        <v>580834000</v>
      </c>
      <c r="C81" s="368" t="e">
        <f>SUM('5.a.sz. melléklet'!D90)</f>
        <v>#REF!</v>
      </c>
      <c r="D81" s="69" t="e">
        <f>SUM('5.a.sz. melléklet'!D91)</f>
        <v>#REF!</v>
      </c>
      <c r="E81" s="277" t="s">
        <v>309</v>
      </c>
      <c r="F81" s="2414">
        <f>SUM('6. sz.melléklet'!D132)</f>
        <v>11771000</v>
      </c>
      <c r="G81" s="344">
        <f>SUM('6. sz.melléklet'!D133)</f>
        <v>11771029</v>
      </c>
      <c r="H81" s="368" t="e">
        <f>SUM('6. sz.melléklet'!D134)</f>
        <v>#REF!</v>
      </c>
    </row>
    <row r="82" spans="1:8" x14ac:dyDescent="0.25">
      <c r="A82" s="51" t="s">
        <v>298</v>
      </c>
      <c r="B82" s="1260">
        <f>SUM('5.a.sz. melléklet'!C89)</f>
        <v>89899000</v>
      </c>
      <c r="C82" s="368" t="e">
        <f>SUM('5.a.sz. melléklet'!C90)</f>
        <v>#REF!</v>
      </c>
      <c r="D82" s="69" t="e">
        <f>SUM('5.a.sz. melléklet'!C91)</f>
        <v>#REF!</v>
      </c>
      <c r="E82" s="277" t="s">
        <v>20</v>
      </c>
      <c r="F82" s="2414">
        <f>SUM('6. sz.melléklet'!E132)</f>
        <v>186435693</v>
      </c>
      <c r="G82" s="344">
        <f>SUM('6. sz.melléklet'!E133)</f>
        <v>120146892</v>
      </c>
      <c r="H82" s="368" t="e">
        <f>SUM('6. sz.melléklet'!E134)</f>
        <v>#REF!</v>
      </c>
    </row>
    <row r="83" spans="1:8" x14ac:dyDescent="0.25">
      <c r="A83" s="51" t="s">
        <v>301</v>
      </c>
      <c r="B83" s="1260">
        <f>SUM('5.a.sz. melléklet'!F89+'5.a.sz. melléklet'!H7)</f>
        <v>20021600</v>
      </c>
      <c r="C83" s="368" t="e">
        <f>SUM('5.a.sz. melléklet'!H8+'5.a.sz. melléklet'!F90)</f>
        <v>#REF!</v>
      </c>
      <c r="D83" s="69" t="e">
        <f>SUM('5.a.sz. melléklet'!F91+'5.a.sz. melléklet'!H9)</f>
        <v>#REF!</v>
      </c>
      <c r="E83" s="277" t="s">
        <v>227</v>
      </c>
      <c r="F83" s="2414">
        <f>SUM('6. sz.melléklet'!F132)</f>
        <v>21848000</v>
      </c>
      <c r="G83" s="344">
        <f>SUM('6. sz.melléklet'!F133)</f>
        <v>21851762</v>
      </c>
      <c r="H83" s="368" t="e">
        <f>SUM('6. sz.melléklet'!F134)</f>
        <v>#REF!</v>
      </c>
    </row>
    <row r="84" spans="1:8" ht="13.2" thickBot="1" x14ac:dyDescent="0.3">
      <c r="A84" s="278" t="s">
        <v>326</v>
      </c>
      <c r="B84" s="2096">
        <f>SUM('5.a.sz. melléklet'!E89)</f>
        <v>129565489</v>
      </c>
      <c r="C84" s="380" t="e">
        <f>SUM('5.a.sz. melléklet'!E90)</f>
        <v>#REF!</v>
      </c>
      <c r="D84" s="713" t="e">
        <f>SUM('5.a.sz. melléklet'!E91)</f>
        <v>#REF!</v>
      </c>
      <c r="E84" s="277" t="s">
        <v>327</v>
      </c>
      <c r="F84" s="2414">
        <f>SUM('6. sz.melléklet'!I132)</f>
        <v>111248760</v>
      </c>
      <c r="G84" s="344">
        <f>SUM('6. sz.melléklet'!I133)</f>
        <v>79862511</v>
      </c>
      <c r="H84" s="380" t="e">
        <f>SUM('6. sz.melléklet'!I134)</f>
        <v>#REF!</v>
      </c>
    </row>
    <row r="85" spans="1:8" ht="13.2" thickBot="1" x14ac:dyDescent="0.3">
      <c r="A85" s="279" t="s">
        <v>194</v>
      </c>
      <c r="B85" s="2097">
        <f>SUM(B81:B84)</f>
        <v>820320089</v>
      </c>
      <c r="C85" s="292" t="e">
        <f>SUM(C81:C84)</f>
        <v>#REF!</v>
      </c>
      <c r="D85" s="290" t="e">
        <f>SUM(D81:D84)</f>
        <v>#REF!</v>
      </c>
      <c r="E85" s="288" t="s">
        <v>197</v>
      </c>
      <c r="F85" s="346">
        <f>SUM(F80:F84)</f>
        <v>378969453</v>
      </c>
      <c r="G85" s="729">
        <f>SUM(G80:G84)</f>
        <v>281298302</v>
      </c>
      <c r="H85" s="737" t="e">
        <f>SUM(H80:H84)</f>
        <v>#REF!</v>
      </c>
    </row>
    <row r="86" spans="1:8" x14ac:dyDescent="0.25">
      <c r="A86" s="54" t="s">
        <v>102</v>
      </c>
      <c r="B86" s="2098">
        <f>SUM('5.a.sz. melléklet'!I89)</f>
        <v>217933000</v>
      </c>
      <c r="C86" s="378" t="e">
        <f>SUM('5.a.sz. melléklet'!I90)</f>
        <v>#REF!</v>
      </c>
      <c r="D86" s="285" t="e">
        <f>SUM('5.a.sz. melléklet'!I91)</f>
        <v>#REF!</v>
      </c>
      <c r="E86" s="277" t="s">
        <v>198</v>
      </c>
      <c r="F86" s="2414">
        <f>SUM('6.a.sz. melléklet'!D45)</f>
        <v>294039503</v>
      </c>
      <c r="G86" s="344">
        <f>SUM('6.a.sz. melléklet'!E45)</f>
        <v>0</v>
      </c>
      <c r="H86" s="378" t="e">
        <f>SUM('6. sz.melléklet'!G134)</f>
        <v>#REF!</v>
      </c>
    </row>
    <row r="87" spans="1:8" x14ac:dyDescent="0.25">
      <c r="A87" s="51" t="s">
        <v>221</v>
      </c>
      <c r="B87" s="1260">
        <f>SUM('5.a.sz. melléklet'!G89+'5.a.sz. melléklet'!H11)</f>
        <v>772274574</v>
      </c>
      <c r="C87" s="368" t="e">
        <f>SUM('5.a.sz. melléklet'!H12+'5.a.sz. melléklet'!G90)</f>
        <v>#REF!</v>
      </c>
      <c r="D87" s="69">
        <f>SUM('5.a.sz. melléklet'!G91+'5.a.sz. melléklet'!H39)</f>
        <v>0</v>
      </c>
      <c r="E87" s="281" t="s">
        <v>324</v>
      </c>
      <c r="F87" s="2415">
        <f>SUM('6.a.sz. melléklet'!H45)</f>
        <v>897562627</v>
      </c>
      <c r="G87" s="730">
        <f>SUM('6.a.sz. melléklet'!I45)</f>
        <v>285689</v>
      </c>
      <c r="H87" s="368" t="e">
        <f>SUM('6. sz.melléklet'!H134)</f>
        <v>#REF!</v>
      </c>
    </row>
    <row r="88" spans="1:8" ht="13.2" thickBot="1" x14ac:dyDescent="0.3">
      <c r="A88" s="332"/>
      <c r="B88" s="2099"/>
      <c r="C88" s="380"/>
      <c r="D88" s="713"/>
      <c r="E88" s="283" t="s">
        <v>304</v>
      </c>
      <c r="F88" s="1402">
        <f>SUM('6. sz.melléklet'!J132)</f>
        <v>6127431</v>
      </c>
      <c r="G88" s="335">
        <f>SUM('6. sz.melléklet'!J133)</f>
        <v>6150195</v>
      </c>
      <c r="H88" s="380" t="e">
        <f>SUM('6. sz.melléklet'!J134)</f>
        <v>#REF!</v>
      </c>
    </row>
    <row r="89" spans="1:8" ht="13.2" thickBot="1" x14ac:dyDescent="0.3">
      <c r="A89" s="279" t="s">
        <v>13</v>
      </c>
      <c r="B89" s="2097">
        <f>SUM(B86:B87)</f>
        <v>990207574</v>
      </c>
      <c r="C89" s="292" t="e">
        <f>SUM(C86:C88)</f>
        <v>#REF!</v>
      </c>
      <c r="D89" s="292" t="e">
        <f>SUM(D86:D88)</f>
        <v>#REF!</v>
      </c>
      <c r="E89" s="288" t="s">
        <v>199</v>
      </c>
      <c r="F89" s="346">
        <f>SUM(F86:F88)</f>
        <v>1197729561</v>
      </c>
      <c r="G89" s="729">
        <f>SUM(G86:G88)</f>
        <v>6435884</v>
      </c>
      <c r="H89" s="737" t="e">
        <f>SUM(H86:H88)</f>
        <v>#REF!</v>
      </c>
    </row>
    <row r="90" spans="1:8" x14ac:dyDescent="0.25">
      <c r="A90" s="562" t="s">
        <v>415</v>
      </c>
      <c r="B90" s="2098">
        <f>SUM('5.a.sz. melléklet'!K85)</f>
        <v>300000000</v>
      </c>
      <c r="C90" s="378">
        <f>SUM('5.a.sz. melléklet'!K86)</f>
        <v>248750</v>
      </c>
      <c r="D90" s="308" t="e">
        <f>SUM('5.a.sz. melléklet'!#REF!)</f>
        <v>#REF!</v>
      </c>
      <c r="E90" s="718" t="s">
        <v>417</v>
      </c>
      <c r="F90" s="2418">
        <f>SUM('6. sz.melléklet'!M127)</f>
        <v>100000000</v>
      </c>
      <c r="G90" s="733">
        <f>SUM('6. sz.melléklet'!M128)</f>
        <v>148750</v>
      </c>
      <c r="H90" s="378">
        <f>SUM('6. sz.melléklet'!M129)</f>
        <v>0</v>
      </c>
    </row>
    <row r="91" spans="1:8" x14ac:dyDescent="0.25">
      <c r="A91" s="563" t="s">
        <v>200</v>
      </c>
      <c r="B91" s="1260">
        <f>SUM('5.a.sz. melléklet'!K7)</f>
        <v>0</v>
      </c>
      <c r="C91" s="368">
        <f>SUM('5.a.sz. melléklet'!K8)</f>
        <v>0</v>
      </c>
      <c r="D91" s="69">
        <f>SUM('5.a.sz. melléklet'!K9)</f>
        <v>0</v>
      </c>
      <c r="E91" s="277" t="s">
        <v>328</v>
      </c>
      <c r="F91" s="140">
        <f>SUM('1.sz. melléklet'!E12+'1.sz. melléklet'!H12+'1.sz. melléklet'!K12+'1.sz. melléklet'!N12)</f>
        <v>451463000</v>
      </c>
      <c r="G91" s="343">
        <f>SUM('1.sz. melléklet'!F12+'1.sz. melléklet'!I12+'1.sz. melléklet'!L12+'1.sz. melléklet'!O12)-184</f>
        <v>432134782</v>
      </c>
      <c r="H91" s="559">
        <f>SUM('6. sz.melléklet'!M23)</f>
        <v>0</v>
      </c>
    </row>
    <row r="92" spans="1:8" x14ac:dyDescent="0.25">
      <c r="A92" s="564"/>
      <c r="B92" s="2096"/>
      <c r="C92" s="369"/>
      <c r="D92" s="367"/>
      <c r="E92" s="719" t="s">
        <v>418</v>
      </c>
      <c r="F92" s="141">
        <f>SUM('6. sz.melléklet'!M14)</f>
        <v>1233365</v>
      </c>
      <c r="G92" s="734">
        <f>SUM('6. sz.melléklet'!M15)</f>
        <v>1233365</v>
      </c>
      <c r="H92" s="559" t="e">
        <f>SUM('6. sz.melléklet'!#REF!)</f>
        <v>#REF!</v>
      </c>
    </row>
    <row r="93" spans="1:8" ht="13.2" thickBot="1" x14ac:dyDescent="0.3">
      <c r="A93" s="287" t="s">
        <v>302</v>
      </c>
      <c r="B93" s="2100">
        <f>SUM(B90:B91)</f>
        <v>300000000</v>
      </c>
      <c r="C93" s="557">
        <f>SUM(C90:C92)</f>
        <v>248750</v>
      </c>
      <c r="D93" s="726" t="e">
        <f>SUM(D90:D92)</f>
        <v>#REF!</v>
      </c>
      <c r="E93" s="720" t="s">
        <v>409</v>
      </c>
      <c r="F93" s="453">
        <f>SUM('6. sz.melléklet'!M6)</f>
        <v>0</v>
      </c>
      <c r="G93" s="735">
        <f>SUM('6. sz.melléklet'!M7)</f>
        <v>0</v>
      </c>
      <c r="H93" s="552">
        <f>SUM('6. sz.melléklet'!M8)</f>
        <v>0</v>
      </c>
    </row>
    <row r="94" spans="1:8" ht="13.2" thickBot="1" x14ac:dyDescent="0.3">
      <c r="A94" s="279" t="s">
        <v>196</v>
      </c>
      <c r="B94" s="2097">
        <f>B85+B89+B93</f>
        <v>2110527663</v>
      </c>
      <c r="C94" s="292" t="e">
        <f>SUM(C93+C89+C85)</f>
        <v>#REF!</v>
      </c>
      <c r="D94" s="292" t="e">
        <f>SUM(D93,D89,D85)</f>
        <v>#REF!</v>
      </c>
      <c r="E94" s="288" t="s">
        <v>126</v>
      </c>
      <c r="F94" s="346">
        <f>SUM(F90:F93)</f>
        <v>552696365</v>
      </c>
      <c r="G94" s="729">
        <f>SUM(G90:G93)</f>
        <v>433516897</v>
      </c>
      <c r="H94" s="737" t="e">
        <f>SUM(H90:H93)</f>
        <v>#REF!</v>
      </c>
    </row>
    <row r="95" spans="1:8" ht="25.5" customHeight="1" thickBot="1" x14ac:dyDescent="0.3">
      <c r="A95" s="55" t="s">
        <v>416</v>
      </c>
      <c r="B95" s="2098">
        <f>SUM('5.a.sz. melléklet'!J19)</f>
        <v>100000000</v>
      </c>
      <c r="C95" s="378">
        <f>SUM('5.a.sz. melléklet'!J20)</f>
        <v>100027391</v>
      </c>
      <c r="D95" s="643" t="e">
        <f>SUM('5.a.sz. melléklet'!#REF!)</f>
        <v>#REF!</v>
      </c>
      <c r="E95" s="289" t="s">
        <v>44</v>
      </c>
      <c r="F95" s="2419">
        <f>SUM('6. sz.melléklet'!K132+'6. sz.melléklet'!L132)</f>
        <v>81132284</v>
      </c>
      <c r="G95" s="727">
        <f>SUM('6. sz.melléklet'!K7+'6. sz.melléklet'!L7)</f>
        <v>62832</v>
      </c>
      <c r="H95" s="711" t="e">
        <f>SUM('6. sz.melléklet'!K134+'6. sz.melléklet'!L134)</f>
        <v>#REF!</v>
      </c>
    </row>
    <row r="96" spans="1:8" ht="13.2" thickBot="1" x14ac:dyDescent="0.3">
      <c r="A96" s="279" t="s">
        <v>201</v>
      </c>
      <c r="B96" s="2097">
        <f>SUM(B95+B93+B89+B85)</f>
        <v>2210527663</v>
      </c>
      <c r="C96" s="292" t="e">
        <f>SUM(C95+C93+C89+C85)</f>
        <v>#REF!</v>
      </c>
      <c r="D96" s="292" t="e">
        <f>SUM(D95+D94)</f>
        <v>#REF!</v>
      </c>
      <c r="E96" s="288" t="s">
        <v>202</v>
      </c>
      <c r="F96" s="346">
        <f>SUM(F95+F94+F89+F85)</f>
        <v>2210527663</v>
      </c>
      <c r="G96" s="729">
        <f>SUM(G95+G94+G89+G85)</f>
        <v>721313915</v>
      </c>
      <c r="H96" s="737" t="e">
        <f>SUM(H85+H89+H94+H95)</f>
        <v>#REF!</v>
      </c>
    </row>
  </sheetData>
  <mergeCells count="13">
    <mergeCell ref="A60:B60"/>
    <mergeCell ref="E60:G60"/>
    <mergeCell ref="A79:B79"/>
    <mergeCell ref="E79:G79"/>
    <mergeCell ref="A1:G1"/>
    <mergeCell ref="A22:B22"/>
    <mergeCell ref="E22:G22"/>
    <mergeCell ref="A41:B41"/>
    <mergeCell ref="E41:G41"/>
    <mergeCell ref="A3:B3"/>
    <mergeCell ref="E3:G3"/>
    <mergeCell ref="A4:B4"/>
    <mergeCell ref="E4:G4"/>
  </mergeCells>
  <phoneticPr fontId="3" type="noConversion"/>
  <pageMargins left="0.75" right="0.75" top="1" bottom="1" header="0.5" footer="0.5"/>
  <pageSetup paperSize="9" scale="34" orientation="landscape" r:id="rId1"/>
  <headerFooter alignWithMargins="0">
    <oddHeader>&amp;A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1"/>
  <sheetViews>
    <sheetView topLeftCell="A13" workbookViewId="0">
      <selection activeCell="A15" sqref="A15:P28"/>
    </sheetView>
  </sheetViews>
  <sheetFormatPr defaultRowHeight="12.6" x14ac:dyDescent="0.25"/>
  <cols>
    <col min="1" max="1" width="12.6640625" customWidth="1"/>
    <col min="2" max="3" width="12.6640625" bestFit="1" customWidth="1"/>
    <col min="4" max="4" width="12.33203125" customWidth="1"/>
    <col min="5" max="5" width="13.109375" bestFit="1" customWidth="1"/>
    <col min="6" max="6" width="12.6640625" bestFit="1" customWidth="1"/>
    <col min="7" max="7" width="13.44140625" bestFit="1" customWidth="1"/>
    <col min="8" max="8" width="12.6640625" bestFit="1" customWidth="1"/>
    <col min="9" max="9" width="13.44140625" bestFit="1" customWidth="1"/>
    <col min="10" max="10" width="12.6640625" bestFit="1" customWidth="1"/>
    <col min="11" max="16" width="11.5546875" bestFit="1" customWidth="1"/>
  </cols>
  <sheetData>
    <row r="1" spans="1:16" ht="27" customHeight="1" x14ac:dyDescent="0.25">
      <c r="A1" s="2655" t="s">
        <v>516</v>
      </c>
      <c r="B1" s="2655"/>
      <c r="C1" s="2655"/>
      <c r="D1" s="2655"/>
      <c r="E1" s="2655"/>
      <c r="F1" s="2655"/>
      <c r="G1" s="2655"/>
      <c r="H1" s="2655"/>
      <c r="I1" s="2655"/>
      <c r="J1" s="2655"/>
      <c r="K1" s="2655"/>
      <c r="L1" s="2655"/>
      <c r="M1" s="2655"/>
      <c r="N1" s="2655"/>
      <c r="O1" s="2655"/>
      <c r="P1" s="6"/>
    </row>
    <row r="2" spans="1:16" ht="13.2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</row>
    <row r="3" spans="1:16" ht="26.25" customHeight="1" thickBot="1" x14ac:dyDescent="0.3">
      <c r="A3" s="764" t="s">
        <v>118</v>
      </c>
      <c r="B3" s="2656" t="s">
        <v>119</v>
      </c>
      <c r="C3" s="2657"/>
      <c r="D3" s="2658"/>
      <c r="E3" s="2656" t="s">
        <v>30</v>
      </c>
      <c r="F3" s="2657"/>
      <c r="G3" s="2658"/>
      <c r="H3" s="2656" t="s">
        <v>56</v>
      </c>
      <c r="I3" s="2657"/>
      <c r="J3" s="2658"/>
      <c r="K3" s="2586" t="s">
        <v>443</v>
      </c>
      <c r="L3" s="2659"/>
      <c r="M3" s="2660"/>
      <c r="N3" s="2656" t="s">
        <v>120</v>
      </c>
      <c r="O3" s="2657"/>
      <c r="P3" s="2658"/>
    </row>
    <row r="4" spans="1:16" ht="13.2" thickBot="1" x14ac:dyDescent="0.3">
      <c r="A4" s="765"/>
      <c r="B4" s="1172" t="s">
        <v>508</v>
      </c>
      <c r="C4" s="1230" t="s">
        <v>544</v>
      </c>
      <c r="D4" s="1173" t="s">
        <v>580</v>
      </c>
      <c r="E4" s="1172" t="s">
        <v>508</v>
      </c>
      <c r="F4" s="1230" t="s">
        <v>544</v>
      </c>
      <c r="G4" s="1173" t="s">
        <v>580</v>
      </c>
      <c r="H4" s="1172" t="s">
        <v>508</v>
      </c>
      <c r="I4" s="1230" t="s">
        <v>544</v>
      </c>
      <c r="J4" s="1173" t="s">
        <v>580</v>
      </c>
      <c r="K4" s="1172" t="s">
        <v>508</v>
      </c>
      <c r="L4" s="1230" t="s">
        <v>544</v>
      </c>
      <c r="M4" s="1173" t="s">
        <v>580</v>
      </c>
      <c r="N4" s="1172" t="s">
        <v>508</v>
      </c>
      <c r="O4" s="1230" t="s">
        <v>544</v>
      </c>
      <c r="P4" s="1173" t="s">
        <v>580</v>
      </c>
    </row>
    <row r="5" spans="1:16" ht="25.2" x14ac:dyDescent="0.25">
      <c r="A5" s="767" t="s">
        <v>182</v>
      </c>
      <c r="B5" s="1233">
        <v>575400000</v>
      </c>
      <c r="C5" s="2425">
        <v>575400000</v>
      </c>
      <c r="D5" s="2437">
        <v>575400000</v>
      </c>
      <c r="E5" s="2435">
        <v>85000</v>
      </c>
      <c r="F5" s="1233">
        <v>85000</v>
      </c>
      <c r="G5" s="771">
        <v>85000</v>
      </c>
      <c r="H5" s="2425"/>
      <c r="I5" s="1233"/>
      <c r="J5" s="771"/>
      <c r="K5" s="2425"/>
      <c r="L5" s="1233"/>
      <c r="M5" s="771"/>
      <c r="N5" s="2425"/>
      <c r="O5" s="1233"/>
      <c r="P5" s="771"/>
    </row>
    <row r="6" spans="1:16" ht="25.2" x14ac:dyDescent="0.25">
      <c r="A6" s="767" t="s">
        <v>298</v>
      </c>
      <c r="B6" s="2426">
        <v>43039000</v>
      </c>
      <c r="C6" s="2428">
        <v>43039000</v>
      </c>
      <c r="D6" s="2438">
        <v>43039000</v>
      </c>
      <c r="E6" s="2428">
        <v>13000000</v>
      </c>
      <c r="F6" s="2426">
        <v>13000000</v>
      </c>
      <c r="G6" s="2427">
        <v>13000000</v>
      </c>
      <c r="H6" s="2428">
        <v>12000000</v>
      </c>
      <c r="I6" s="2426">
        <v>12000000</v>
      </c>
      <c r="J6" s="2427">
        <v>12000000</v>
      </c>
      <c r="K6" s="2428">
        <v>6000000</v>
      </c>
      <c r="L6" s="2426">
        <v>6000000</v>
      </c>
      <c r="M6" s="2427">
        <v>6000000</v>
      </c>
      <c r="N6" s="2428">
        <v>250000</v>
      </c>
      <c r="O6" s="2426">
        <v>250000</v>
      </c>
      <c r="P6" s="2427">
        <v>250000</v>
      </c>
    </row>
    <row r="7" spans="1:16" ht="37.799999999999997" x14ac:dyDescent="0.25">
      <c r="A7" s="767" t="s">
        <v>440</v>
      </c>
      <c r="B7" s="2426">
        <v>119000000</v>
      </c>
      <c r="C7" s="2428">
        <v>119000000</v>
      </c>
      <c r="D7" s="2438">
        <v>119000000</v>
      </c>
      <c r="E7" s="2428"/>
      <c r="F7" s="2426"/>
      <c r="G7" s="2427"/>
      <c r="H7" s="2428"/>
      <c r="I7" s="2426"/>
      <c r="J7" s="2427"/>
      <c r="K7" s="2428"/>
      <c r="L7" s="2426"/>
      <c r="M7" s="2427"/>
      <c r="N7" s="2428"/>
      <c r="O7" s="2426"/>
      <c r="P7" s="2427"/>
    </row>
    <row r="8" spans="1:16" ht="37.799999999999997" x14ac:dyDescent="0.25">
      <c r="A8" s="767" t="s">
        <v>441</v>
      </c>
      <c r="B8" s="2426"/>
      <c r="C8" s="2428"/>
      <c r="D8" s="2438"/>
      <c r="E8" s="2428"/>
      <c r="F8" s="2426"/>
      <c r="G8" s="2427"/>
      <c r="H8" s="2428"/>
      <c r="I8" s="2426"/>
      <c r="J8" s="2427"/>
      <c r="K8" s="2428"/>
      <c r="L8" s="2426"/>
      <c r="M8" s="2427"/>
      <c r="N8" s="2428"/>
      <c r="O8" s="2426"/>
      <c r="P8" s="2427"/>
    </row>
    <row r="9" spans="1:16" ht="25.2" x14ac:dyDescent="0.25">
      <c r="A9" s="767" t="s">
        <v>102</v>
      </c>
      <c r="B9" s="2426">
        <v>30000000</v>
      </c>
      <c r="C9" s="2428">
        <v>20000000</v>
      </c>
      <c r="D9" s="2438">
        <v>10000000</v>
      </c>
      <c r="E9" s="2428"/>
      <c r="F9" s="2426"/>
      <c r="G9" s="2427"/>
      <c r="H9" s="2428"/>
      <c r="I9" s="2426"/>
      <c r="J9" s="2427"/>
      <c r="K9" s="2428"/>
      <c r="L9" s="2426"/>
      <c r="M9" s="2427"/>
      <c r="N9" s="2428"/>
      <c r="O9" s="2426"/>
      <c r="P9" s="2427"/>
    </row>
    <row r="10" spans="1:16" ht="35.25" customHeight="1" x14ac:dyDescent="0.25">
      <c r="A10" s="767" t="s">
        <v>301</v>
      </c>
      <c r="B10" s="2426"/>
      <c r="C10" s="2428"/>
      <c r="D10" s="2438"/>
      <c r="E10" s="2428"/>
      <c r="F10" s="2426"/>
      <c r="G10" s="2427"/>
      <c r="H10" s="2428"/>
      <c r="I10" s="2426"/>
      <c r="J10" s="2427"/>
      <c r="K10" s="2428"/>
      <c r="L10" s="2426"/>
      <c r="M10" s="2427"/>
      <c r="N10" s="2428"/>
      <c r="O10" s="2426"/>
      <c r="P10" s="2427"/>
    </row>
    <row r="11" spans="1:16" ht="50.4" x14ac:dyDescent="0.25">
      <c r="A11" s="767" t="s">
        <v>221</v>
      </c>
      <c r="B11" s="2426"/>
      <c r="C11" s="2428"/>
      <c r="D11" s="2438"/>
      <c r="E11" s="2428"/>
      <c r="F11" s="2426"/>
      <c r="G11" s="2427"/>
      <c r="H11" s="2428"/>
      <c r="I11" s="2426"/>
      <c r="J11" s="2427"/>
      <c r="K11" s="2428"/>
      <c r="L11" s="2426"/>
      <c r="M11" s="2427"/>
      <c r="N11" s="2428"/>
      <c r="O11" s="2426"/>
      <c r="P11" s="2427"/>
    </row>
    <row r="12" spans="1:16" ht="25.8" thickBot="1" x14ac:dyDescent="0.3">
      <c r="A12" s="772" t="s">
        <v>302</v>
      </c>
      <c r="B12" s="2429">
        <v>100000000</v>
      </c>
      <c r="C12" s="2431">
        <v>150000000</v>
      </c>
      <c r="D12" s="2439">
        <v>200000000</v>
      </c>
      <c r="E12" s="2431">
        <f>SUM(E28-E6-E5)</f>
        <v>115215280</v>
      </c>
      <c r="F12" s="2431">
        <f t="shared" ref="F12:P12" si="0">SUM(F28-F6-F5)</f>
        <v>123996740</v>
      </c>
      <c r="G12" s="2431">
        <f t="shared" si="0"/>
        <v>133566489.20000002</v>
      </c>
      <c r="H12" s="2431">
        <f t="shared" si="0"/>
        <v>128634375</v>
      </c>
      <c r="I12" s="2431">
        <f t="shared" si="0"/>
        <v>138072937.5</v>
      </c>
      <c r="J12" s="2431">
        <f t="shared" si="0"/>
        <v>149430231.25000003</v>
      </c>
      <c r="K12" s="2431">
        <f t="shared" si="0"/>
        <v>41813635</v>
      </c>
      <c r="L12" s="2431">
        <f t="shared" si="0"/>
        <v>44046517.5</v>
      </c>
      <c r="M12" s="2431">
        <f t="shared" si="0"/>
        <v>46479840.150000006</v>
      </c>
      <c r="N12" s="2431">
        <f t="shared" si="0"/>
        <v>88126455</v>
      </c>
      <c r="O12" s="2431">
        <f t="shared" si="0"/>
        <v>92678327.5</v>
      </c>
      <c r="P12" s="2431">
        <f t="shared" si="0"/>
        <v>97638809.950000018</v>
      </c>
    </row>
    <row r="13" spans="1:16" ht="25.8" thickBot="1" x14ac:dyDescent="0.3">
      <c r="A13" s="773" t="s">
        <v>141</v>
      </c>
      <c r="B13" s="1235">
        <f t="shared" ref="B13:C13" si="1">SUM(B5:B12)</f>
        <v>867439000</v>
      </c>
      <c r="C13" s="2432">
        <f t="shared" si="1"/>
        <v>907439000</v>
      </c>
      <c r="D13" s="1235">
        <f t="shared" ref="D13:P13" si="2">SUM(D5:D12)</f>
        <v>947439000</v>
      </c>
      <c r="E13" s="1235">
        <f t="shared" ref="E13:F13" si="3">SUM(E5:E12)</f>
        <v>128300280</v>
      </c>
      <c r="F13" s="2432">
        <f t="shared" si="3"/>
        <v>137081740</v>
      </c>
      <c r="G13" s="1235">
        <f t="shared" si="2"/>
        <v>146651489.20000002</v>
      </c>
      <c r="H13" s="1235">
        <f t="shared" ref="H13:I13" si="4">SUM(H5:H12)</f>
        <v>140634375</v>
      </c>
      <c r="I13" s="2432">
        <f t="shared" si="4"/>
        <v>150072937.5</v>
      </c>
      <c r="J13" s="1235">
        <f t="shared" si="2"/>
        <v>161430231.25000003</v>
      </c>
      <c r="K13" s="1235">
        <f t="shared" ref="K13:L13" si="5">SUM(K5:K12)</f>
        <v>47813635</v>
      </c>
      <c r="L13" s="2432">
        <f t="shared" si="5"/>
        <v>50046517.5</v>
      </c>
      <c r="M13" s="1235">
        <f t="shared" si="2"/>
        <v>52479840.150000006</v>
      </c>
      <c r="N13" s="1235">
        <f t="shared" ref="N13:O13" si="6">SUM(N5:N12)</f>
        <v>88376455</v>
      </c>
      <c r="O13" s="2432">
        <f t="shared" si="6"/>
        <v>92928327.5</v>
      </c>
      <c r="P13" s="1235">
        <f t="shared" si="2"/>
        <v>97888809.950000018</v>
      </c>
    </row>
    <row r="14" spans="1:16" ht="13.2" thickBot="1" x14ac:dyDescent="0.3">
      <c r="A14" s="768"/>
      <c r="B14" s="768"/>
      <c r="C14" s="768"/>
      <c r="D14" s="768"/>
      <c r="E14" s="768"/>
      <c r="F14" s="768"/>
      <c r="G14" s="768"/>
      <c r="H14" s="768"/>
      <c r="I14" s="768"/>
      <c r="J14" s="768"/>
      <c r="K14" s="768"/>
      <c r="L14" s="768"/>
      <c r="M14" s="768"/>
      <c r="N14" s="768"/>
      <c r="O14" s="768"/>
      <c r="P14" s="768"/>
    </row>
    <row r="15" spans="1:16" ht="26.25" customHeight="1" thickBot="1" x14ac:dyDescent="0.3">
      <c r="A15" s="764" t="s">
        <v>123</v>
      </c>
      <c r="B15" s="2656" t="s">
        <v>119</v>
      </c>
      <c r="C15" s="2657"/>
      <c r="D15" s="2658"/>
      <c r="E15" s="2656" t="s">
        <v>30</v>
      </c>
      <c r="F15" s="2657"/>
      <c r="G15" s="2658"/>
      <c r="H15" s="2656" t="s">
        <v>56</v>
      </c>
      <c r="I15" s="2657"/>
      <c r="J15" s="2658"/>
      <c r="K15" s="2586" t="s">
        <v>443</v>
      </c>
      <c r="L15" s="2659"/>
      <c r="M15" s="2660"/>
      <c r="N15" s="2656" t="s">
        <v>120</v>
      </c>
      <c r="O15" s="2657"/>
      <c r="P15" s="2658"/>
    </row>
    <row r="16" spans="1:16" ht="13.2" thickBot="1" x14ac:dyDescent="0.3">
      <c r="A16" s="769"/>
      <c r="B16" s="1172" t="s">
        <v>508</v>
      </c>
      <c r="C16" s="1230" t="s">
        <v>544</v>
      </c>
      <c r="D16" s="1173" t="s">
        <v>580</v>
      </c>
      <c r="E16" s="1172" t="s">
        <v>508</v>
      </c>
      <c r="F16" s="1230" t="s">
        <v>544</v>
      </c>
      <c r="G16" s="1173" t="s">
        <v>580</v>
      </c>
      <c r="H16" s="1172" t="s">
        <v>508</v>
      </c>
      <c r="I16" s="1230" t="s">
        <v>544</v>
      </c>
      <c r="J16" s="1173" t="s">
        <v>580</v>
      </c>
      <c r="K16" s="1172" t="s">
        <v>508</v>
      </c>
      <c r="L16" s="1230" t="s">
        <v>544</v>
      </c>
      <c r="M16" s="1173" t="s">
        <v>580</v>
      </c>
      <c r="N16" s="1172" t="s">
        <v>508</v>
      </c>
      <c r="O16" s="1230" t="s">
        <v>544</v>
      </c>
      <c r="P16" s="1173" t="s">
        <v>580</v>
      </c>
    </row>
    <row r="17" spans="1:16" ht="25.2" x14ac:dyDescent="0.25">
      <c r="A17" s="767" t="s">
        <v>9</v>
      </c>
      <c r="B17" s="770">
        <v>53340000</v>
      </c>
      <c r="C17" s="1233">
        <f>SUM(B17)*1.1</f>
        <v>58674000.000000007</v>
      </c>
      <c r="D17" s="771">
        <f>SUM(C17)*1.1</f>
        <v>64541400.000000015</v>
      </c>
      <c r="E17" s="2425">
        <v>81688000</v>
      </c>
      <c r="F17" s="1233">
        <f>SUM(E17)*1.1</f>
        <v>89856800</v>
      </c>
      <c r="G17" s="771">
        <f>SUM(F17)*1.1</f>
        <v>98842480.000000015</v>
      </c>
      <c r="H17" s="2425">
        <v>88625000</v>
      </c>
      <c r="I17" s="1233">
        <f>SUM(H17*1.1)</f>
        <v>97487500.000000015</v>
      </c>
      <c r="J17" s="771">
        <f>SUM(I17*1.1)</f>
        <v>107236250.00000003</v>
      </c>
      <c r="K17" s="2425">
        <v>20771000</v>
      </c>
      <c r="L17" s="1233">
        <f>SUM(K17)*1.1</f>
        <v>22848100</v>
      </c>
      <c r="M17" s="771">
        <f>SUM(L17)*1.1</f>
        <v>25132910.000000004</v>
      </c>
      <c r="N17" s="2425">
        <v>42343000</v>
      </c>
      <c r="O17" s="1233">
        <f>SUM(N17)*1.1</f>
        <v>46577300.000000007</v>
      </c>
      <c r="P17" s="771">
        <f>SUM(O17)*1.1</f>
        <v>51235030.000000015</v>
      </c>
    </row>
    <row r="18" spans="1:16" ht="37.799999999999997" x14ac:dyDescent="0.25">
      <c r="A18" s="767" t="s">
        <v>442</v>
      </c>
      <c r="B18" s="2433">
        <f>SUM(B17*0.185)</f>
        <v>9867900</v>
      </c>
      <c r="C18" s="2426">
        <f>SUM(C17*0.175)</f>
        <v>10267950</v>
      </c>
      <c r="D18" s="2427">
        <f>SUM(D17*0.165)</f>
        <v>10649331.000000004</v>
      </c>
      <c r="E18" s="2428">
        <f>SUM(E17*0.185)</f>
        <v>15112280</v>
      </c>
      <c r="F18" s="2426">
        <f>SUM(F17*0.175)</f>
        <v>15724939.999999998</v>
      </c>
      <c r="G18" s="2427">
        <f>SUM(G17*0.165)</f>
        <v>16309009.200000003</v>
      </c>
      <c r="H18" s="2428">
        <f>SUM(H17*0.175)</f>
        <v>15509374.999999998</v>
      </c>
      <c r="I18" s="2426">
        <f>SUM(I17*0.165)</f>
        <v>16085437.500000004</v>
      </c>
      <c r="J18" s="2427">
        <f>SUM(J17*0.165)</f>
        <v>17693981.250000007</v>
      </c>
      <c r="K18" s="2428">
        <f>SUM(K17*0.185)</f>
        <v>3842635</v>
      </c>
      <c r="L18" s="2426">
        <f>SUM(L17*0.175)</f>
        <v>3998417.4999999995</v>
      </c>
      <c r="M18" s="2427">
        <f>SUM(M17*0.165)</f>
        <v>4146930.1500000008</v>
      </c>
      <c r="N18" s="2428">
        <f>SUM(N17*0.185)</f>
        <v>7833455</v>
      </c>
      <c r="O18" s="2426">
        <f>SUM(O17*0.175)</f>
        <v>8151027.5000000009</v>
      </c>
      <c r="P18" s="2427">
        <f>SUM(P17*0.165)</f>
        <v>8453779.950000003</v>
      </c>
    </row>
    <row r="19" spans="1:16" ht="25.2" x14ac:dyDescent="0.25">
      <c r="A19" s="767" t="s">
        <v>20</v>
      </c>
      <c r="B19" s="2433">
        <v>130000000</v>
      </c>
      <c r="C19" s="2426">
        <v>130000000</v>
      </c>
      <c r="D19" s="2427">
        <v>130000000</v>
      </c>
      <c r="E19" s="2428">
        <v>30000000</v>
      </c>
      <c r="F19" s="2426">
        <v>30000000</v>
      </c>
      <c r="G19" s="2427">
        <v>30000000</v>
      </c>
      <c r="H19" s="2428">
        <v>35000000</v>
      </c>
      <c r="I19" s="2426">
        <v>35000000</v>
      </c>
      <c r="J19" s="2427">
        <v>35000000</v>
      </c>
      <c r="K19" s="2428">
        <v>19000000</v>
      </c>
      <c r="L19" s="2426">
        <v>19000000</v>
      </c>
      <c r="M19" s="2427">
        <v>19000000</v>
      </c>
      <c r="N19" s="2428">
        <v>35000000</v>
      </c>
      <c r="O19" s="2426">
        <v>35000000</v>
      </c>
      <c r="P19" s="2427">
        <v>35000000</v>
      </c>
    </row>
    <row r="20" spans="1:16" ht="37.799999999999997" x14ac:dyDescent="0.25">
      <c r="A20" s="767" t="s">
        <v>227</v>
      </c>
      <c r="B20" s="2433">
        <v>45400000</v>
      </c>
      <c r="C20" s="2426">
        <v>45400000</v>
      </c>
      <c r="D20" s="2427">
        <v>45400000</v>
      </c>
      <c r="E20" s="2428"/>
      <c r="F20" s="2426"/>
      <c r="G20" s="2427"/>
      <c r="H20" s="2428"/>
      <c r="I20" s="2426"/>
      <c r="J20" s="2427"/>
      <c r="K20" s="2428"/>
      <c r="L20" s="2426"/>
      <c r="M20" s="2427"/>
      <c r="N20" s="2428"/>
      <c r="O20" s="2426"/>
      <c r="P20" s="2427"/>
    </row>
    <row r="21" spans="1:16" ht="63" x14ac:dyDescent="0.25">
      <c r="A21" s="767" t="s">
        <v>466</v>
      </c>
      <c r="B21" s="2433">
        <v>36000000</v>
      </c>
      <c r="C21" s="2426">
        <v>36000000</v>
      </c>
      <c r="D21" s="2427">
        <v>36000000</v>
      </c>
      <c r="E21" s="2428"/>
      <c r="F21" s="2426"/>
      <c r="G21" s="2427"/>
      <c r="H21" s="2428"/>
      <c r="I21" s="2426"/>
      <c r="J21" s="2427"/>
      <c r="K21" s="2428"/>
      <c r="L21" s="2426"/>
      <c r="M21" s="2427"/>
      <c r="N21" s="2428"/>
      <c r="O21" s="2426"/>
      <c r="P21" s="2427"/>
    </row>
    <row r="22" spans="1:16" x14ac:dyDescent="0.25">
      <c r="A22" s="767" t="s">
        <v>124</v>
      </c>
      <c r="B22" s="2433">
        <v>43000000</v>
      </c>
      <c r="C22" s="2426">
        <v>43000000</v>
      </c>
      <c r="D22" s="2427">
        <v>43000000</v>
      </c>
      <c r="E22" s="2428">
        <v>1500000</v>
      </c>
      <c r="F22" s="2428">
        <v>1500000</v>
      </c>
      <c r="G22" s="2427">
        <v>1500000</v>
      </c>
      <c r="H22" s="2436">
        <v>1500000</v>
      </c>
      <c r="I22" s="2428">
        <v>1500000</v>
      </c>
      <c r="J22" s="2427">
        <v>1500000</v>
      </c>
      <c r="K22" s="2436">
        <v>4200000</v>
      </c>
      <c r="L22" s="2428">
        <v>4200000</v>
      </c>
      <c r="M22" s="2427">
        <v>4200000</v>
      </c>
      <c r="N22" s="2436">
        <v>3200000</v>
      </c>
      <c r="O22" s="2428">
        <v>3200000</v>
      </c>
      <c r="P22" s="2427">
        <v>3200000</v>
      </c>
    </row>
    <row r="23" spans="1:16" x14ac:dyDescent="0.25">
      <c r="A23" s="767" t="s">
        <v>125</v>
      </c>
      <c r="B23" s="2433">
        <v>110000000</v>
      </c>
      <c r="C23" s="2426">
        <v>110000000</v>
      </c>
      <c r="D23" s="2427">
        <v>110000000</v>
      </c>
      <c r="E23" s="2428"/>
      <c r="F23" s="2426"/>
      <c r="G23" s="2427"/>
      <c r="H23" s="2428"/>
      <c r="I23" s="2426"/>
      <c r="J23" s="2427"/>
      <c r="K23" s="2428"/>
      <c r="L23" s="2426"/>
      <c r="M23" s="2427"/>
      <c r="N23" s="2428"/>
      <c r="O23" s="2426"/>
      <c r="P23" s="2427"/>
    </row>
    <row r="24" spans="1:16" ht="63" x14ac:dyDescent="0.25">
      <c r="A24" s="767" t="s">
        <v>467</v>
      </c>
      <c r="B24" s="2433"/>
      <c r="C24" s="2426"/>
      <c r="D24" s="2427"/>
      <c r="E24" s="2428"/>
      <c r="F24" s="2426"/>
      <c r="G24" s="2427"/>
      <c r="H24" s="2428"/>
      <c r="I24" s="2426"/>
      <c r="J24" s="2427"/>
      <c r="K24" s="2428"/>
      <c r="L24" s="2426"/>
      <c r="M24" s="2427"/>
      <c r="N24" s="2428"/>
      <c r="O24" s="2426"/>
      <c r="P24" s="2427"/>
    </row>
    <row r="25" spans="1:16" ht="25.2" x14ac:dyDescent="0.25">
      <c r="A25" s="767" t="s">
        <v>126</v>
      </c>
      <c r="B25" s="2433">
        <f>SUM(E12+H12+K12+N12)</f>
        <v>373789745</v>
      </c>
      <c r="C25" s="2426">
        <f>SUM(F12+I12+L12+O12)</f>
        <v>398794522.5</v>
      </c>
      <c r="D25" s="2427">
        <f>SUM(G12+J12+M12+P12)</f>
        <v>427115370.55000007</v>
      </c>
      <c r="E25" s="2428"/>
      <c r="F25" s="2426"/>
      <c r="G25" s="2427"/>
      <c r="H25" s="2428"/>
      <c r="I25" s="2426"/>
      <c r="J25" s="2427"/>
      <c r="K25" s="2428"/>
      <c r="L25" s="2426"/>
      <c r="M25" s="2427"/>
      <c r="N25" s="2428"/>
      <c r="O25" s="2426"/>
      <c r="P25" s="2427"/>
    </row>
    <row r="26" spans="1:16" ht="25.2" x14ac:dyDescent="0.25">
      <c r="A26" s="767" t="s">
        <v>127</v>
      </c>
      <c r="B26" s="2433">
        <f>SUM(B13)-B17-B18-B19-B20-B21-B22-B23-B25-B27</f>
        <v>46041355</v>
      </c>
      <c r="C26" s="2433">
        <f t="shared" ref="C26:D26" si="7">SUM(C13)-C17-C18-C19-C20-C21-C22-C23-C25-C27</f>
        <v>55302527.5</v>
      </c>
      <c r="D26" s="2433">
        <f t="shared" si="7"/>
        <v>60732898.449999928</v>
      </c>
      <c r="E26" s="2428"/>
      <c r="F26" s="2426"/>
      <c r="G26" s="2427"/>
      <c r="H26" s="2428"/>
      <c r="I26" s="2426"/>
      <c r="J26" s="2427"/>
      <c r="K26" s="2428"/>
      <c r="L26" s="2426"/>
      <c r="M26" s="2427"/>
      <c r="N26" s="2428"/>
      <c r="O26" s="2426"/>
      <c r="P26" s="2427"/>
    </row>
    <row r="27" spans="1:16" ht="13.2" thickBot="1" x14ac:dyDescent="0.3">
      <c r="A27" s="772" t="s">
        <v>128</v>
      </c>
      <c r="B27" s="2434">
        <v>20000000</v>
      </c>
      <c r="C27" s="2429">
        <v>20000000</v>
      </c>
      <c r="D27" s="2430">
        <v>20000000</v>
      </c>
      <c r="E27" s="2431"/>
      <c r="F27" s="2429"/>
      <c r="G27" s="2430"/>
      <c r="H27" s="2431"/>
      <c r="I27" s="2429"/>
      <c r="J27" s="2430"/>
      <c r="K27" s="2431"/>
      <c r="L27" s="2429"/>
      <c r="M27" s="2430"/>
      <c r="N27" s="2431"/>
      <c r="O27" s="2429"/>
      <c r="P27" s="2430"/>
    </row>
    <row r="28" spans="1:16" ht="25.8" thickBot="1" x14ac:dyDescent="0.3">
      <c r="A28" s="1231" t="s">
        <v>142</v>
      </c>
      <c r="B28" s="1232">
        <f t="shared" ref="B28" si="8">SUM(B17:B27)</f>
        <v>867439000</v>
      </c>
      <c r="C28" s="1234">
        <f>SUM(C17:C27)</f>
        <v>907439000</v>
      </c>
      <c r="D28" s="1235">
        <f t="shared" ref="D28:F28" si="9">SUM(D17:D27)</f>
        <v>947439000</v>
      </c>
      <c r="E28" s="1235">
        <f t="shared" si="9"/>
        <v>128300280</v>
      </c>
      <c r="F28" s="2432">
        <f t="shared" si="9"/>
        <v>137081740</v>
      </c>
      <c r="G28" s="1235">
        <f t="shared" ref="G28:P28" si="10">SUM(G17:G27)</f>
        <v>146651489.20000002</v>
      </c>
      <c r="H28" s="1235">
        <f t="shared" ref="H28:I28" si="11">SUM(H17:H27)</f>
        <v>140634375</v>
      </c>
      <c r="I28" s="2432">
        <f t="shared" si="11"/>
        <v>150072937.5</v>
      </c>
      <c r="J28" s="1235">
        <f t="shared" si="10"/>
        <v>161430231.25000003</v>
      </c>
      <c r="K28" s="1235">
        <f t="shared" ref="K28:L28" si="12">SUM(K17:K27)</f>
        <v>47813635</v>
      </c>
      <c r="L28" s="2432">
        <f t="shared" si="12"/>
        <v>50046517.5</v>
      </c>
      <c r="M28" s="1235">
        <f t="shared" si="10"/>
        <v>52479840.150000006</v>
      </c>
      <c r="N28" s="1235">
        <f t="shared" ref="N28:O28" si="13">SUM(N17:N27)</f>
        <v>88376455</v>
      </c>
      <c r="O28" s="2432">
        <f t="shared" si="13"/>
        <v>92928327.5</v>
      </c>
      <c r="P28" s="1235">
        <f t="shared" si="10"/>
        <v>97888809.950000018</v>
      </c>
    </row>
    <row r="31" spans="1:16" x14ac:dyDescent="0.25">
      <c r="B31" s="1402"/>
      <c r="C31" s="1402"/>
      <c r="D31" s="1402"/>
      <c r="E31" s="1402"/>
      <c r="F31" s="1402"/>
      <c r="G31" s="1402"/>
      <c r="H31" s="1402"/>
      <c r="I31" s="1402"/>
      <c r="J31" s="1402"/>
      <c r="K31" s="1402"/>
      <c r="L31" s="1402"/>
      <c r="M31" s="1402"/>
      <c r="N31" s="1402"/>
      <c r="O31" s="1402"/>
      <c r="P31" s="1402"/>
    </row>
  </sheetData>
  <mergeCells count="11">
    <mergeCell ref="B15:D15"/>
    <mergeCell ref="E15:G15"/>
    <mergeCell ref="H15:J15"/>
    <mergeCell ref="K15:M15"/>
    <mergeCell ref="N15:P15"/>
    <mergeCell ref="A1:O1"/>
    <mergeCell ref="B3:D3"/>
    <mergeCell ref="E3:G3"/>
    <mergeCell ref="H3:J3"/>
    <mergeCell ref="K3:M3"/>
    <mergeCell ref="N3:P3"/>
  </mergeCells>
  <pageMargins left="0.7" right="0.7" top="0.75" bottom="0.75" header="0.3" footer="0.3"/>
  <pageSetup paperSize="9" scale="5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abSelected="1" workbookViewId="0">
      <selection sqref="A1:H1"/>
    </sheetView>
  </sheetViews>
  <sheetFormatPr defaultColWidth="9.109375" defaultRowHeight="12.6" x14ac:dyDescent="0.25"/>
  <cols>
    <col min="1" max="1" width="3.5546875" customWidth="1"/>
    <col min="2" max="2" width="18.6640625" customWidth="1"/>
    <col min="3" max="3" width="10.44140625" customWidth="1"/>
    <col min="4" max="4" width="2.109375" customWidth="1"/>
    <col min="5" max="5" width="21.88671875" customWidth="1"/>
    <col min="6" max="6" width="14.109375" customWidth="1"/>
    <col min="7" max="7" width="9.109375" hidden="1" customWidth="1"/>
    <col min="8" max="8" width="18.88671875" customWidth="1"/>
    <col min="9" max="9" width="29.33203125" customWidth="1"/>
    <col min="10" max="11" width="9.109375" hidden="1" customWidth="1"/>
  </cols>
  <sheetData>
    <row r="1" spans="1:11" ht="39" customHeight="1" thickBot="1" x14ac:dyDescent="0.4">
      <c r="A1" s="2538" t="s">
        <v>581</v>
      </c>
      <c r="B1" s="2539"/>
      <c r="C1" s="2539"/>
      <c r="D1" s="2539"/>
      <c r="E1" s="2539"/>
      <c r="F1" s="2539"/>
      <c r="G1" s="2539"/>
      <c r="H1" s="2540"/>
      <c r="I1" s="2420"/>
      <c r="J1" s="2421"/>
      <c r="K1" s="2422"/>
    </row>
    <row r="3" spans="1:11" ht="13.2" thickBot="1" x14ac:dyDescent="0.3">
      <c r="A3" s="2455"/>
      <c r="B3" s="2455"/>
      <c r="C3" s="2455"/>
      <c r="D3" s="2455"/>
      <c r="E3" s="2455" t="s">
        <v>506</v>
      </c>
      <c r="F3" s="2455" t="s">
        <v>504</v>
      </c>
      <c r="G3" s="2455"/>
      <c r="H3" s="2455" t="s">
        <v>505</v>
      </c>
    </row>
    <row r="4" spans="1:11" x14ac:dyDescent="0.25">
      <c r="A4" s="54">
        <v>1</v>
      </c>
      <c r="B4" s="2664" t="s">
        <v>536</v>
      </c>
      <c r="C4" s="2664"/>
      <c r="D4" s="2664"/>
      <c r="E4" s="2456">
        <f>F4+H4</f>
        <v>29022150</v>
      </c>
      <c r="F4" s="2457">
        <v>14022150</v>
      </c>
      <c r="G4" s="2457"/>
      <c r="H4" s="2098">
        <v>15000000</v>
      </c>
    </row>
    <row r="5" spans="1:11" x14ac:dyDescent="0.25">
      <c r="A5" s="51">
        <v>2</v>
      </c>
      <c r="B5" s="2661" t="s">
        <v>502</v>
      </c>
      <c r="C5" s="2661"/>
      <c r="D5" s="2661"/>
      <c r="E5" s="343">
        <v>118414825</v>
      </c>
      <c r="F5" s="140">
        <v>29603706</v>
      </c>
      <c r="G5" s="140"/>
      <c r="H5" s="1260">
        <f>E5-F5</f>
        <v>88811119</v>
      </c>
    </row>
    <row r="6" spans="1:11" x14ac:dyDescent="0.25">
      <c r="A6" s="51">
        <v>3</v>
      </c>
      <c r="B6" s="2661" t="s">
        <v>481</v>
      </c>
      <c r="C6" s="2661"/>
      <c r="D6" s="2661"/>
      <c r="E6" s="343">
        <v>8000000</v>
      </c>
      <c r="F6" s="140">
        <v>4500000</v>
      </c>
      <c r="G6" s="140"/>
      <c r="H6" s="1260">
        <v>3500000</v>
      </c>
    </row>
    <row r="7" spans="1:11" ht="44.25" customHeight="1" thickBot="1" x14ac:dyDescent="0.3">
      <c r="A7" s="71">
        <v>4</v>
      </c>
      <c r="B7" s="2662" t="s">
        <v>603</v>
      </c>
      <c r="C7" s="2662"/>
      <c r="D7" s="2662"/>
      <c r="E7" s="363">
        <v>29545000</v>
      </c>
      <c r="F7" s="453">
        <v>29545000</v>
      </c>
      <c r="G7" s="453"/>
      <c r="H7" s="2102">
        <v>0</v>
      </c>
      <c r="I7" s="335"/>
    </row>
    <row r="8" spans="1:11" ht="13.2" thickBot="1" x14ac:dyDescent="0.3">
      <c r="A8" s="374"/>
      <c r="B8" s="2663" t="s">
        <v>503</v>
      </c>
      <c r="C8" s="2663"/>
      <c r="D8" s="2663"/>
      <c r="E8" s="2423">
        <f>SUM(E4:E7)</f>
        <v>184981975</v>
      </c>
      <c r="F8" s="2424">
        <f>SUM(F4:F7)</f>
        <v>77670856</v>
      </c>
      <c r="G8" s="2424"/>
      <c r="H8" s="1261">
        <f>SUM(H4:H7)</f>
        <v>107311119</v>
      </c>
    </row>
    <row r="11" spans="1:11" x14ac:dyDescent="0.25">
      <c r="F11" s="1402"/>
    </row>
  </sheetData>
  <mergeCells count="6">
    <mergeCell ref="B6:D6"/>
    <mergeCell ref="B7:D7"/>
    <mergeCell ref="B8:D8"/>
    <mergeCell ref="A1:H1"/>
    <mergeCell ref="B4:D4"/>
    <mergeCell ref="B5:D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3"/>
  <sheetViews>
    <sheetView workbookViewId="0">
      <selection sqref="A1:F22"/>
    </sheetView>
  </sheetViews>
  <sheetFormatPr defaultRowHeight="12.6" x14ac:dyDescent="0.25"/>
  <cols>
    <col min="1" max="1" width="38.6640625" customWidth="1"/>
    <col min="2" max="2" width="14.5546875" bestFit="1" customWidth="1"/>
    <col min="3" max="3" width="0.109375" customWidth="1"/>
    <col min="4" max="4" width="0.33203125" customWidth="1"/>
    <col min="5" max="5" width="35.44140625" customWidth="1"/>
    <col min="6" max="6" width="14.5546875" bestFit="1" customWidth="1"/>
    <col min="7" max="7" width="0.109375" customWidth="1"/>
    <col min="8" max="8" width="0.33203125" customWidth="1"/>
  </cols>
  <sheetData>
    <row r="1" spans="1:8" ht="37.5" customHeight="1" x14ac:dyDescent="0.35">
      <c r="A1" s="2529" t="s">
        <v>552</v>
      </c>
      <c r="B1" s="2530"/>
      <c r="C1" s="2530"/>
      <c r="D1" s="2530"/>
      <c r="E1" s="2530"/>
      <c r="F1" s="2530"/>
      <c r="G1" s="307"/>
      <c r="H1" s="307"/>
    </row>
    <row r="2" spans="1:8" ht="6" customHeight="1" thickBot="1" x14ac:dyDescent="0.3">
      <c r="A2" s="267"/>
      <c r="B2" s="267"/>
      <c r="C2" s="267"/>
      <c r="D2" s="267"/>
      <c r="E2" s="267"/>
      <c r="F2" s="267"/>
    </row>
    <row r="3" spans="1:8" ht="13.2" thickBot="1" x14ac:dyDescent="0.3">
      <c r="A3" s="2531" t="s">
        <v>40</v>
      </c>
      <c r="B3" s="2532"/>
      <c r="C3" s="359"/>
      <c r="D3" s="366"/>
      <c r="E3" s="2533" t="s">
        <v>123</v>
      </c>
      <c r="F3" s="2534"/>
      <c r="G3" s="374"/>
      <c r="H3" s="280"/>
    </row>
    <row r="4" spans="1:8" ht="6.75" customHeight="1" thickBot="1" x14ac:dyDescent="0.3">
      <c r="A4" s="133"/>
      <c r="B4" s="292"/>
      <c r="C4" s="293"/>
      <c r="D4" s="292"/>
      <c r="E4" s="293"/>
      <c r="F4" s="293"/>
      <c r="G4" s="13"/>
      <c r="H4" s="379"/>
    </row>
    <row r="5" spans="1:8" ht="23.25" customHeight="1" thickBot="1" x14ac:dyDescent="0.3">
      <c r="A5" s="355"/>
      <c r="B5" s="375" t="s">
        <v>360</v>
      </c>
      <c r="C5" s="376" t="s">
        <v>361</v>
      </c>
      <c r="D5" s="641"/>
      <c r="E5" s="293"/>
      <c r="F5" s="375" t="s">
        <v>360</v>
      </c>
      <c r="G5" s="375" t="s">
        <v>361</v>
      </c>
      <c r="H5" s="641"/>
    </row>
    <row r="6" spans="1:8" ht="14.25" customHeight="1" x14ac:dyDescent="0.25">
      <c r="A6" s="8"/>
      <c r="B6" s="60"/>
      <c r="C6" s="377"/>
      <c r="D6" s="378"/>
      <c r="E6" s="282" t="s">
        <v>9</v>
      </c>
      <c r="F6" s="2098">
        <f>'2.sz.melléklet'!C336</f>
        <v>320831000</v>
      </c>
      <c r="G6" s="378" t="e">
        <f>'2.sz.melléklet'!C337</f>
        <v>#REF!</v>
      </c>
      <c r="H6" s="663" t="e">
        <f>SUM('1.sz. melléklet'!S18)</f>
        <v>#REF!</v>
      </c>
    </row>
    <row r="7" spans="1:8" x14ac:dyDescent="0.25">
      <c r="A7" s="51" t="s">
        <v>182</v>
      </c>
      <c r="B7" s="1260">
        <f>'2.sz.melléklet'!D135</f>
        <v>580834000</v>
      </c>
      <c r="C7" s="62" t="e">
        <f>SUM('2.sz.melléklet'!D136)</f>
        <v>#REF!</v>
      </c>
      <c r="D7" s="659" t="e">
        <f>SUM('1.sz. melléklet'!S5)</f>
        <v>#REF!</v>
      </c>
      <c r="E7" s="277" t="s">
        <v>309</v>
      </c>
      <c r="F7" s="1260">
        <f>'2.sz.melléklet'!D336</f>
        <v>70893000</v>
      </c>
      <c r="G7" s="368" t="e">
        <f>'2.sz.melléklet'!D337</f>
        <v>#REF!</v>
      </c>
      <c r="H7" s="663" t="e">
        <f>SUM('1.sz. melléklet'!S19)</f>
        <v>#REF!</v>
      </c>
    </row>
    <row r="8" spans="1:8" x14ac:dyDescent="0.25">
      <c r="A8" s="51" t="s">
        <v>298</v>
      </c>
      <c r="B8" s="1260">
        <f>'2.sz.melléklet'!C135</f>
        <v>110099000</v>
      </c>
      <c r="C8" s="368" t="e">
        <f>SUM('2.sz.melléklet'!C136)</f>
        <v>#REF!</v>
      </c>
      <c r="D8" s="659" t="e">
        <f>SUM('1.sz. melléklet'!S6)</f>
        <v>#REF!</v>
      </c>
      <c r="E8" s="277" t="s">
        <v>20</v>
      </c>
      <c r="F8" s="1260">
        <f>'2.sz.melléklet'!E336</f>
        <v>311306693</v>
      </c>
      <c r="G8" s="368" t="e">
        <f>'2.sz.melléklet'!E337</f>
        <v>#REF!</v>
      </c>
      <c r="H8" s="663" t="e">
        <f>SUM('1.sz. melléklet'!S20)</f>
        <v>#REF!</v>
      </c>
    </row>
    <row r="9" spans="1:8" x14ac:dyDescent="0.25">
      <c r="A9" s="51" t="s">
        <v>301</v>
      </c>
      <c r="B9" s="1260">
        <f>SUM('2.sz.melléklet'!F135)</f>
        <v>21321600</v>
      </c>
      <c r="C9" s="368" t="e">
        <f>SUM('2.sz.melléklet'!H7+'2.sz.melléklet'!F136)</f>
        <v>#REF!</v>
      </c>
      <c r="D9" s="368" t="e">
        <f>SUM('2.sz.melléklet'!F137+5600)</f>
        <v>#REF!</v>
      </c>
      <c r="E9" s="277" t="s">
        <v>227</v>
      </c>
      <c r="F9" s="2096">
        <f>'2.sz.melléklet'!F336</f>
        <v>21848000</v>
      </c>
      <c r="G9" s="368" t="e">
        <f>'2.sz.melléklet'!F337</f>
        <v>#REF!</v>
      </c>
      <c r="H9" s="663" t="e">
        <f>SUM('1.sz. melléklet'!S21)</f>
        <v>#REF!</v>
      </c>
    </row>
    <row r="10" spans="1:8" ht="13.2" thickBot="1" x14ac:dyDescent="0.3">
      <c r="A10" s="278" t="s">
        <v>326</v>
      </c>
      <c r="B10" s="2096">
        <f>'2.sz.melléklet'!E135</f>
        <v>129565489</v>
      </c>
      <c r="C10" s="369" t="e">
        <f>'2.sz.melléklet'!E136</f>
        <v>#REF!</v>
      </c>
      <c r="D10" s="367" t="e">
        <f>SUM('2.sz.melléklet'!E137)</f>
        <v>#REF!</v>
      </c>
      <c r="E10" s="277" t="s">
        <v>228</v>
      </c>
      <c r="F10" s="2101">
        <f>'2.sz.melléklet'!I336</f>
        <v>111248760</v>
      </c>
      <c r="G10" s="380" t="e">
        <f>'2.sz.melléklet'!I337</f>
        <v>#REF!</v>
      </c>
      <c r="H10" s="664" t="e">
        <f>SUM('1.sz. melléklet'!S22)</f>
        <v>#REF!</v>
      </c>
    </row>
    <row r="11" spans="1:8" ht="13.2" thickBot="1" x14ac:dyDescent="0.3">
      <c r="A11" s="279" t="s">
        <v>194</v>
      </c>
      <c r="B11" s="2097">
        <f>SUM(B7:B10)</f>
        <v>841820089</v>
      </c>
      <c r="C11" s="370" t="e">
        <f>SUM(C7:C10)</f>
        <v>#REF!</v>
      </c>
      <c r="D11" s="660" t="e">
        <f>SUM(D7:D10)</f>
        <v>#REF!</v>
      </c>
      <c r="E11" s="288" t="s">
        <v>197</v>
      </c>
      <c r="F11" s="2097">
        <f>SUM(F6:F10)</f>
        <v>836127453</v>
      </c>
      <c r="G11" s="452" t="e">
        <f>SUM(G6:G10)</f>
        <v>#REF!</v>
      </c>
      <c r="H11" s="666" t="e">
        <f>SUM(H6:H10)</f>
        <v>#REF!</v>
      </c>
    </row>
    <row r="12" spans="1:8" x14ac:dyDescent="0.25">
      <c r="A12" s="54" t="s">
        <v>102</v>
      </c>
      <c r="B12" s="2098">
        <f>'2.sz.melléklet'!I135</f>
        <v>217933000</v>
      </c>
      <c r="C12" s="371" t="e">
        <f>'2.sz.melléklet'!I136</f>
        <v>#REF!</v>
      </c>
      <c r="D12" s="661" t="e">
        <f>SUM('1.sz. melléklet'!S9)</f>
        <v>#REF!</v>
      </c>
      <c r="E12" s="277" t="s">
        <v>198</v>
      </c>
      <c r="F12" s="1260">
        <f>'2.sz.melléklet'!G336</f>
        <v>295039503</v>
      </c>
      <c r="G12" s="371" t="e">
        <f>'2.sz.melléklet'!G337</f>
        <v>#REF!</v>
      </c>
      <c r="H12" s="665" t="e">
        <f>SUM('1.sz. melléklet'!S24)</f>
        <v>#REF!</v>
      </c>
    </row>
    <row r="13" spans="1:8" x14ac:dyDescent="0.25">
      <c r="A13" s="51" t="s">
        <v>221</v>
      </c>
      <c r="B13" s="1260">
        <f>SUM('2.sz.melléklet'!G135)</f>
        <v>772274574</v>
      </c>
      <c r="C13" s="368" t="e">
        <f>SUM('2.sz.melléklet'!H11+'2.sz.melléklet'!G136)</f>
        <v>#REF!</v>
      </c>
      <c r="D13" s="662" t="e">
        <f>SUM('1.sz. melléklet'!D8+'1.sz. melléklet'!D11)</f>
        <v>#REF!</v>
      </c>
      <c r="E13" s="51" t="s">
        <v>324</v>
      </c>
      <c r="F13" s="1260">
        <f>'2.sz.melléklet'!H336</f>
        <v>912367627</v>
      </c>
      <c r="G13" s="368" t="e">
        <f>'2.sz.melléklet'!H337</f>
        <v>#REF!</v>
      </c>
      <c r="H13" s="663" t="e">
        <f>SUM('1.sz. melléklet'!S23)</f>
        <v>#REF!</v>
      </c>
    </row>
    <row r="14" spans="1:8" ht="13.2" thickBot="1" x14ac:dyDescent="0.3">
      <c r="A14" s="332"/>
      <c r="B14" s="2099"/>
      <c r="C14" s="380"/>
      <c r="D14" s="60"/>
      <c r="E14" s="71" t="s">
        <v>304</v>
      </c>
      <c r="F14" s="2102">
        <f>'2.sz.melléklet'!J336</f>
        <v>6127431</v>
      </c>
      <c r="G14" s="380" t="e">
        <f>'2.sz.melléklet'!J337</f>
        <v>#REF!</v>
      </c>
      <c r="H14" s="664" t="e">
        <f>SUM('1.sz. melléklet'!S25)</f>
        <v>#REF!</v>
      </c>
    </row>
    <row r="15" spans="1:8" ht="13.2" thickBot="1" x14ac:dyDescent="0.3">
      <c r="A15" s="279" t="s">
        <v>13</v>
      </c>
      <c r="B15" s="2097">
        <f>SUM(B12:B13)</f>
        <v>990207574</v>
      </c>
      <c r="C15" s="370" t="e">
        <f>SUM(C12:C14)</f>
        <v>#REF!</v>
      </c>
      <c r="D15" s="660" t="e">
        <f>SUM(D12:D14)</f>
        <v>#REF!</v>
      </c>
      <c r="E15" s="288" t="s">
        <v>199</v>
      </c>
      <c r="F15" s="2097">
        <f>SUM(F12:F14)</f>
        <v>1213534561</v>
      </c>
      <c r="G15" s="370" t="e">
        <f>SUM(G12:G14)</f>
        <v>#REF!</v>
      </c>
      <c r="H15" s="667" t="e">
        <f>SUM(H12:H14)</f>
        <v>#REF!</v>
      </c>
    </row>
    <row r="16" spans="1:8" x14ac:dyDescent="0.25">
      <c r="A16" s="54"/>
      <c r="B16" s="2098"/>
      <c r="C16" s="371"/>
      <c r="D16" s="60"/>
      <c r="E16" s="51"/>
      <c r="F16" s="1260"/>
      <c r="G16" s="371"/>
      <c r="H16" s="308"/>
    </row>
    <row r="17" spans="1:8" x14ac:dyDescent="0.25">
      <c r="A17" s="51" t="s">
        <v>302</v>
      </c>
      <c r="B17" s="1260">
        <f>SUM('2.sz.melléklet'!K135)</f>
        <v>300000000</v>
      </c>
      <c r="C17" s="368" t="e">
        <f>SUM('2.sz.melléklet'!K136)</f>
        <v>#REF!</v>
      </c>
      <c r="D17" s="60" t="e">
        <f>SUM('5. sz.melléklet'!E52)</f>
        <v>#REF!</v>
      </c>
      <c r="E17" s="579" t="s">
        <v>512</v>
      </c>
      <c r="F17" s="1260">
        <f>SUM('2.sz.melléklet'!M278)</f>
        <v>100000000</v>
      </c>
      <c r="G17" s="368">
        <f>SUM('2.sz.melléklet'!M279)</f>
        <v>148750</v>
      </c>
      <c r="H17" s="69">
        <f>SUM('2.sz.melléklet'!M280)</f>
        <v>0</v>
      </c>
    </row>
    <row r="18" spans="1:8" ht="13.2" thickBot="1" x14ac:dyDescent="0.3">
      <c r="A18" s="287" t="s">
        <v>302</v>
      </c>
      <c r="B18" s="2100">
        <f>SUM(B16:B17)</f>
        <v>300000000</v>
      </c>
      <c r="C18" s="557" t="e">
        <f>SUM(C16:C17)</f>
        <v>#REF!</v>
      </c>
      <c r="D18" s="290" t="e">
        <f>SUM(D17)</f>
        <v>#REF!</v>
      </c>
      <c r="E18" s="939" t="s">
        <v>408</v>
      </c>
      <c r="F18" s="2102">
        <f>SUM('2.sz.melléklet'!M147)</f>
        <v>1233365</v>
      </c>
      <c r="G18" s="552">
        <f>SUM('2.sz.melléklet'!M148)</f>
        <v>3424</v>
      </c>
      <c r="H18" s="669">
        <f>SUM('2.sz.melléklet'!M149)</f>
        <v>0</v>
      </c>
    </row>
    <row r="19" spans="1:8" ht="13.2" thickBot="1" x14ac:dyDescent="0.3">
      <c r="A19" s="279" t="s">
        <v>196</v>
      </c>
      <c r="B19" s="2097">
        <f>B11+B15+B18</f>
        <v>2132027663</v>
      </c>
      <c r="C19" s="370" t="e">
        <f>SUM(C11,C15,C18)</f>
        <v>#REF!</v>
      </c>
      <c r="D19" s="660" t="e">
        <f>SUM(D11+D15+D18)</f>
        <v>#REF!</v>
      </c>
      <c r="E19" s="288" t="s">
        <v>126</v>
      </c>
      <c r="F19" s="2097">
        <f>SUM(F17:F18)</f>
        <v>101233365</v>
      </c>
      <c r="G19" s="452">
        <f>SUM(G17:G18)</f>
        <v>152174</v>
      </c>
      <c r="H19" s="668">
        <f>SUM(H17:H18)</f>
        <v>0</v>
      </c>
    </row>
    <row r="20" spans="1:8" ht="25.5" customHeight="1" x14ac:dyDescent="0.25">
      <c r="A20" s="55" t="s">
        <v>407</v>
      </c>
      <c r="B20" s="2098">
        <f>SUM('2.sz.melléklet'!J135)</f>
        <v>100000000</v>
      </c>
      <c r="C20" s="371">
        <f>SUM('2.sz.melléklet'!J19)</f>
        <v>100027575</v>
      </c>
      <c r="D20" s="308">
        <f>SUM('2.sz.melléklet'!J60)-380</f>
        <v>-380</v>
      </c>
      <c r="E20" s="554" t="s">
        <v>44</v>
      </c>
      <c r="F20" s="2098">
        <f>'2.sz.melléklet'!K336+'2.sz.melléklet'!L336</f>
        <v>81132284</v>
      </c>
      <c r="G20" s="371" t="e">
        <f>'2.sz.melléklet'!K337+'2.sz.melléklet'!L337</f>
        <v>#REF!</v>
      </c>
      <c r="H20" s="308" t="e">
        <f>SUM('2.sz.melléklet'!#REF!+'2.sz.melléklet'!#REF!)</f>
        <v>#REF!</v>
      </c>
    </row>
    <row r="21" spans="1:8" ht="13.2" thickBot="1" x14ac:dyDescent="0.3">
      <c r="A21" s="278" t="s">
        <v>200</v>
      </c>
      <c r="B21" s="2096"/>
      <c r="C21" s="373">
        <f>SUM('2.sz.melléklet'!K7)</f>
        <v>0</v>
      </c>
      <c r="D21" s="60" t="e">
        <f>SUM('2.sz.melléklet'!K94)</f>
        <v>#REF!</v>
      </c>
      <c r="E21" s="553" t="s">
        <v>409</v>
      </c>
      <c r="F21" s="2101"/>
      <c r="G21" s="552">
        <f>SUM('2.sz.melléklet'!M144)</f>
        <v>0</v>
      </c>
      <c r="H21" s="669">
        <f>SUM('2.sz.melléklet'!M145)</f>
        <v>0</v>
      </c>
    </row>
    <row r="22" spans="1:8" ht="13.2" thickBot="1" x14ac:dyDescent="0.3">
      <c r="A22" s="279" t="s">
        <v>201</v>
      </c>
      <c r="B22" s="2097">
        <f>B19+B21+B20</f>
        <v>2232027663</v>
      </c>
      <c r="C22" s="370" t="e">
        <f>SUM(C19:C21)</f>
        <v>#REF!</v>
      </c>
      <c r="D22" s="660" t="e">
        <f>SUM(D19+D20+D21)</f>
        <v>#REF!</v>
      </c>
      <c r="E22" s="288" t="s">
        <v>202</v>
      </c>
      <c r="F22" s="2097">
        <f>F11+F15+F19+F20</f>
        <v>2232027663</v>
      </c>
      <c r="G22" s="555" t="e">
        <f>SUM(G11+G15+G20+G19+G21)</f>
        <v>#REF!</v>
      </c>
      <c r="H22" s="666" t="e">
        <f>SUM(H11+H15+H19+H20+H21)</f>
        <v>#REF!</v>
      </c>
    </row>
    <row r="23" spans="1:8" x14ac:dyDescent="0.25">
      <c r="H23" s="60"/>
    </row>
  </sheetData>
  <mergeCells count="3">
    <mergeCell ref="A1:F1"/>
    <mergeCell ref="A3:B3"/>
    <mergeCell ref="E3:F3"/>
  </mergeCells>
  <phoneticPr fontId="3" type="noConversion"/>
  <pageMargins left="0.75" right="0.75" top="1" bottom="1" header="0.5" footer="0.5"/>
  <pageSetup paperSize="9" orientation="landscape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workbookViewId="0">
      <selection sqref="A1:N31"/>
    </sheetView>
  </sheetViews>
  <sheetFormatPr defaultRowHeight="12.6" x14ac:dyDescent="0.25"/>
  <cols>
    <col min="1" max="1" width="26.6640625" customWidth="1"/>
    <col min="2" max="2" width="12.33203125" customWidth="1"/>
    <col min="3" max="4" width="9.33203125" bestFit="1" customWidth="1"/>
    <col min="5" max="14" width="10" bestFit="1" customWidth="1"/>
    <col min="15" max="15" width="15.33203125" customWidth="1"/>
    <col min="16" max="16" width="12.33203125" bestFit="1" customWidth="1"/>
    <col min="17" max="17" width="10.88671875" bestFit="1" customWidth="1"/>
  </cols>
  <sheetData>
    <row r="1" spans="1:17" ht="13.2" thickBot="1" x14ac:dyDescent="0.3"/>
    <row r="2" spans="1:17" ht="29.25" customHeight="1" thickBot="1" x14ac:dyDescent="0.4">
      <c r="A2" s="2535" t="s">
        <v>553</v>
      </c>
      <c r="B2" s="2536"/>
      <c r="C2" s="2536"/>
      <c r="D2" s="2536"/>
      <c r="E2" s="2536"/>
      <c r="F2" s="2536"/>
      <c r="G2" s="2536"/>
      <c r="H2" s="2536"/>
      <c r="I2" s="2536"/>
      <c r="J2" s="2536"/>
      <c r="K2" s="2536"/>
      <c r="L2" s="2536"/>
      <c r="M2" s="2536"/>
      <c r="N2" s="2537"/>
    </row>
    <row r="3" spans="1:17" ht="13.2" x14ac:dyDescent="0.25">
      <c r="A3" s="194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195"/>
    </row>
    <row r="4" spans="1:17" ht="13.8" thickBot="1" x14ac:dyDescent="0.3">
      <c r="A4" s="196" t="s">
        <v>136</v>
      </c>
      <c r="B4" s="197"/>
      <c r="C4" s="198"/>
      <c r="D4" s="198"/>
      <c r="E4" s="198"/>
      <c r="F4" s="197"/>
      <c r="G4" s="199"/>
      <c r="H4" s="199"/>
      <c r="I4" s="200"/>
      <c r="J4" s="201"/>
      <c r="K4" s="201"/>
      <c r="L4" s="202"/>
      <c r="M4" s="201"/>
      <c r="N4" s="203"/>
    </row>
    <row r="5" spans="1:17" x14ac:dyDescent="0.25">
      <c r="A5" s="32" t="s">
        <v>32</v>
      </c>
      <c r="B5" s="35" t="s">
        <v>0</v>
      </c>
      <c r="C5" s="33" t="s">
        <v>33</v>
      </c>
      <c r="D5" s="33" t="s">
        <v>34</v>
      </c>
      <c r="E5" s="33" t="s">
        <v>35</v>
      </c>
      <c r="F5" s="33" t="s">
        <v>36</v>
      </c>
      <c r="G5" s="33" t="s">
        <v>37</v>
      </c>
      <c r="H5" s="33" t="s">
        <v>38</v>
      </c>
      <c r="I5" s="33" t="s">
        <v>39</v>
      </c>
      <c r="J5" s="33" t="s">
        <v>47</v>
      </c>
      <c r="K5" s="34" t="s">
        <v>48</v>
      </c>
      <c r="L5" s="33" t="s">
        <v>49</v>
      </c>
      <c r="M5" s="33" t="s">
        <v>50</v>
      </c>
      <c r="N5" s="35" t="s">
        <v>51</v>
      </c>
    </row>
    <row r="6" spans="1:17" ht="13.2" thickBot="1" x14ac:dyDescent="0.3">
      <c r="A6" s="36" t="s">
        <v>40</v>
      </c>
      <c r="B6" s="38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17" x14ac:dyDescent="0.25">
      <c r="A7" s="39"/>
      <c r="B7" s="41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1"/>
    </row>
    <row r="8" spans="1:17" x14ac:dyDescent="0.25">
      <c r="A8" s="42" t="s">
        <v>298</v>
      </c>
      <c r="B8" s="2344">
        <f>SUM('2.sz.melléklet'!C135)</f>
        <v>110099000</v>
      </c>
      <c r="C8" s="2345">
        <f>SUM('17. sz.melléklet'!C8+'17. sz.melléklet'!C39+'17. sz.melléklet'!C57+'17. sz.melléklet'!C75+'17. sz.melléklet'!C93)</f>
        <v>9174916.666666666</v>
      </c>
      <c r="D8" s="2345">
        <f>SUM('17. sz.melléklet'!D8+'17. sz.melléklet'!D39+'17. sz.melléklet'!D57+'17. sz.melléklet'!D75+'17. sz.melléklet'!D93)</f>
        <v>9174916.666666666</v>
      </c>
      <c r="E8" s="2345">
        <f>SUM('17. sz.melléklet'!E8+'17. sz.melléklet'!E39+'17. sz.melléklet'!E57+'17. sz.melléklet'!E75+'17. sz.melléklet'!E93)</f>
        <v>9174916.666666666</v>
      </c>
      <c r="F8" s="2345">
        <f>SUM('17. sz.melléklet'!F8+'17. sz.melléklet'!F39+'17. sz.melléklet'!F57+'17. sz.melléklet'!F75+'17. sz.melléklet'!F93)</f>
        <v>9174916.666666666</v>
      </c>
      <c r="G8" s="2345">
        <f>SUM('17. sz.melléklet'!G8+'17. sz.melléklet'!G39+'17. sz.melléklet'!G57+'17. sz.melléklet'!G75+'17. sz.melléklet'!G93)</f>
        <v>9174916.666666666</v>
      </c>
      <c r="H8" s="2345">
        <f>SUM('17. sz.melléklet'!H8+'17. sz.melléklet'!H39+'17. sz.melléklet'!H57+'17. sz.melléklet'!H75+'17. sz.melléklet'!H93)</f>
        <v>9174916.666666666</v>
      </c>
      <c r="I8" s="2345">
        <f>SUM('17. sz.melléklet'!I8+'17. sz.melléklet'!I39+'17. sz.melléklet'!I57+'17. sz.melléklet'!I75+'17. sz.melléklet'!I93)</f>
        <v>9174916.666666666</v>
      </c>
      <c r="J8" s="2345">
        <f>SUM('17. sz.melléklet'!J8+'17. sz.melléklet'!J39+'17. sz.melléklet'!J57+'17. sz.melléklet'!J75+'17. sz.melléklet'!J93)</f>
        <v>9174916.666666666</v>
      </c>
      <c r="K8" s="2345">
        <f>SUM('17. sz.melléklet'!K8+'17. sz.melléklet'!K39+'17. sz.melléklet'!K57+'17. sz.melléklet'!K75+'17. sz.melléklet'!K93)</f>
        <v>9174916.666666666</v>
      </c>
      <c r="L8" s="2345">
        <f>SUM('17. sz.melléklet'!L8+'17. sz.melléklet'!L39+'17. sz.melléklet'!L57+'17. sz.melléklet'!L75+'17. sz.melléklet'!L93)</f>
        <v>9174916.666666666</v>
      </c>
      <c r="M8" s="2345">
        <f>SUM('17. sz.melléklet'!M8+'17. sz.melléklet'!M39+'17. sz.melléklet'!M57+'17. sz.melléklet'!M75+'17. sz.melléklet'!M93)</f>
        <v>9174916.666666666</v>
      </c>
      <c r="N8" s="2345">
        <f>SUM('17. sz.melléklet'!N8+'17. sz.melléklet'!N39+'17. sz.melléklet'!N57+'17. sz.melléklet'!N75+'17. sz.melléklet'!N93)</f>
        <v>9174916.666666666</v>
      </c>
      <c r="O8" s="205"/>
      <c r="P8" s="1402"/>
      <c r="Q8" s="1402"/>
    </row>
    <row r="9" spans="1:17" x14ac:dyDescent="0.25">
      <c r="A9" s="42" t="s">
        <v>182</v>
      </c>
      <c r="B9" s="2346">
        <f>SUM('2.sz.melléklet'!D135)</f>
        <v>580834000</v>
      </c>
      <c r="C9" s="2347">
        <f>SUM('17. sz.melléklet'!C9+'17. sz.melléklet'!C38)</f>
        <v>36302125</v>
      </c>
      <c r="D9" s="2347">
        <f>SUM('17. sz.melléklet'!D9+'17. sz.melléklet'!D38)</f>
        <v>36302125</v>
      </c>
      <c r="E9" s="2347">
        <f>SUM('17. sz.melléklet'!E9+'17. sz.melléklet'!E38)</f>
        <v>86965750</v>
      </c>
      <c r="F9" s="2347">
        <f>SUM('17. sz.melléklet'!F9+'17. sz.melléklet'!F38)</f>
        <v>36302125</v>
      </c>
      <c r="G9" s="2347">
        <f>SUM('17. sz.melléklet'!G9+'17. sz.melléklet'!G38)</f>
        <v>36302125</v>
      </c>
      <c r="H9" s="2347">
        <f>SUM('17. sz.melléklet'!H9+'17. sz.melléklet'!H38)</f>
        <v>36302125</v>
      </c>
      <c r="I9" s="2347">
        <f>SUM('17. sz.melléklet'!I9+'17. sz.melléklet'!I38)</f>
        <v>36302125</v>
      </c>
      <c r="J9" s="2347">
        <f>SUM('17. sz.melléklet'!J9+'17. sz.melléklet'!J38)</f>
        <v>36302125</v>
      </c>
      <c r="K9" s="2347">
        <f>SUM('17. sz.melléklet'!K9+'17. sz.melléklet'!K38)</f>
        <v>90847000</v>
      </c>
      <c r="L9" s="2347">
        <f>SUM('17. sz.melléklet'!L9+'17. sz.melléklet'!L38)</f>
        <v>36302125</v>
      </c>
      <c r="M9" s="2347">
        <f>SUM('17. sz.melléklet'!M9+'17. sz.melléklet'!M38)</f>
        <v>36302125</v>
      </c>
      <c r="N9" s="2347">
        <f>SUM('17. sz.melléklet'!N9+'17. sz.melléklet'!N38)</f>
        <v>76302125</v>
      </c>
      <c r="O9" s="205"/>
      <c r="P9" s="1402"/>
      <c r="Q9" s="1402"/>
    </row>
    <row r="10" spans="1:17" x14ac:dyDescent="0.25">
      <c r="A10" s="42" t="s">
        <v>317</v>
      </c>
      <c r="B10" s="2346">
        <f>SUM('2.sz.melléklet'!E135)</f>
        <v>129565489</v>
      </c>
      <c r="C10" s="2347">
        <f>SUM('17. sz.melléklet'!C10)</f>
        <v>10797124.083333334</v>
      </c>
      <c r="D10" s="2347">
        <f>SUM('17. sz.melléklet'!D10)</f>
        <v>10797124.083333334</v>
      </c>
      <c r="E10" s="2347">
        <f>SUM('17. sz.melléklet'!E10)</f>
        <v>10797124.083333334</v>
      </c>
      <c r="F10" s="2347">
        <f>SUM('17. sz.melléklet'!F10)</f>
        <v>10797124.083333334</v>
      </c>
      <c r="G10" s="2347">
        <f>SUM('17. sz.melléklet'!G10)</f>
        <v>10797124.083333334</v>
      </c>
      <c r="H10" s="2347">
        <f>SUM('17. sz.melléklet'!H10)</f>
        <v>10797124.083333334</v>
      </c>
      <c r="I10" s="2347">
        <f>SUM('17. sz.melléklet'!I10)</f>
        <v>10797124.083333334</v>
      </c>
      <c r="J10" s="2347">
        <f>SUM('17. sz.melléklet'!J10)</f>
        <v>10797124.083333334</v>
      </c>
      <c r="K10" s="2347">
        <f>SUM('17. sz.melléklet'!K10)</f>
        <v>10797124.083333334</v>
      </c>
      <c r="L10" s="2347">
        <f>SUM('17. sz.melléklet'!L10)</f>
        <v>10797124.083333334</v>
      </c>
      <c r="M10" s="2347">
        <f>SUM('17. sz.melléklet'!M10)</f>
        <v>10797124.083333334</v>
      </c>
      <c r="N10" s="2347">
        <f>SUM('17. sz.melléklet'!N10)</f>
        <v>10797124.083333334</v>
      </c>
      <c r="O10" s="205"/>
      <c r="P10" s="1402"/>
      <c r="Q10" s="1402"/>
    </row>
    <row r="11" spans="1:17" x14ac:dyDescent="0.25">
      <c r="A11" s="42" t="s">
        <v>102</v>
      </c>
      <c r="B11" s="2346">
        <f>SUM('5. sz.melléklet'!C44)</f>
        <v>217933000</v>
      </c>
      <c r="C11" s="2347">
        <f>SUM('17. sz.melléklet'!C11)</f>
        <v>0</v>
      </c>
      <c r="D11" s="2347">
        <f>SUM('17. sz.melléklet'!D11)</f>
        <v>0</v>
      </c>
      <c r="E11" s="2347">
        <f>SUM('17. sz.melléklet'!I11)+'17. sz.melléklet'!E11</f>
        <v>181728000</v>
      </c>
      <c r="F11" s="2347">
        <f>SUM('17. sz.melléklet'!F11)</f>
        <v>0</v>
      </c>
      <c r="G11" s="2347">
        <f>SUM('17. sz.melléklet'!G11)</f>
        <v>6205000</v>
      </c>
      <c r="H11" s="2347">
        <f>SUM('17. sz.melléklet'!H11)</f>
        <v>0</v>
      </c>
      <c r="I11" s="2347"/>
      <c r="J11" s="2347">
        <f>SUM('17. sz.melléklet'!J11)</f>
        <v>10000000</v>
      </c>
      <c r="K11" s="2347">
        <f>SUM('17. sz.melléklet'!K11)</f>
        <v>0</v>
      </c>
      <c r="L11" s="2347">
        <f>SUM('17. sz.melléklet'!L11)</f>
        <v>0</v>
      </c>
      <c r="M11" s="2347">
        <f>SUM('17. sz.melléklet'!M11)</f>
        <v>20000000</v>
      </c>
      <c r="N11" s="2347">
        <f>SUM('17. sz.melléklet'!N11)</f>
        <v>0</v>
      </c>
      <c r="O11" s="205"/>
      <c r="P11" s="1402"/>
      <c r="Q11" s="1402"/>
    </row>
    <row r="12" spans="1:17" x14ac:dyDescent="0.25">
      <c r="A12" s="42" t="s">
        <v>460</v>
      </c>
      <c r="B12" s="2346">
        <f>SUM('5. sz.melléklet'!C23+'15.sz.melléklet'!E38)</f>
        <v>793596174</v>
      </c>
      <c r="C12" s="2347">
        <f>SUM('17. sz.melléklet'!C12)+'17. sz.melléklet'!C77</f>
        <v>1602353</v>
      </c>
      <c r="D12" s="2347">
        <f>SUM('17. sz.melléklet'!D12)+'17. sz.melléklet'!D77</f>
        <v>2706800</v>
      </c>
      <c r="E12" s="2347">
        <f>SUM('17. sz.melléklet'!E12)+'17. sz.melléklet'!E77</f>
        <v>1944800</v>
      </c>
      <c r="F12" s="2347">
        <f>SUM('17. sz.melléklet'!F12)+'17. sz.melléklet'!F77</f>
        <v>895906</v>
      </c>
      <c r="G12" s="2347">
        <f>SUM('17. sz.melléklet'!G12)+'17. sz.melléklet'!G77</f>
        <v>2000353</v>
      </c>
      <c r="H12" s="2347">
        <f>SUM('17. sz.melléklet'!H12)+'17. sz.melléklet'!H77</f>
        <v>36203906</v>
      </c>
      <c r="I12" s="2347">
        <f>SUM('17. sz.melléklet'!I12)+'17. sz.melléklet'!I77</f>
        <v>1944800</v>
      </c>
      <c r="J12" s="2347">
        <f>SUM('17. sz.melléklet'!J12)+'17. sz.melléklet'!J77</f>
        <v>3300353</v>
      </c>
      <c r="K12" s="2347">
        <f>SUM('17. sz.melléklet'!K12)+'17. sz.melléklet'!K77</f>
        <v>42442481</v>
      </c>
      <c r="L12" s="2347">
        <f>SUM('17. sz.melléklet'!L12)+'17. sz.melléklet'!L77</f>
        <v>106776887</v>
      </c>
      <c r="M12" s="2347">
        <f>SUM('17. sz.melléklet'!M12)+'17. sz.melléklet'!M77</f>
        <v>591483818</v>
      </c>
      <c r="N12" s="2347">
        <f>SUM('17. sz.melléklet'!N12)+'17. sz.melléklet'!N77</f>
        <v>2293717</v>
      </c>
      <c r="O12" s="205"/>
      <c r="P12" s="1402"/>
      <c r="Q12" s="1402"/>
    </row>
    <row r="13" spans="1:17" x14ac:dyDescent="0.25">
      <c r="A13" s="42" t="s">
        <v>4</v>
      </c>
      <c r="B13" s="2346"/>
      <c r="C13" s="2347"/>
      <c r="D13" s="2347"/>
      <c r="E13" s="2347"/>
      <c r="F13" s="2347"/>
      <c r="G13" s="2347"/>
      <c r="H13" s="2347"/>
      <c r="I13" s="2347"/>
      <c r="J13" s="2347"/>
      <c r="K13" s="2347"/>
      <c r="L13" s="2347"/>
      <c r="M13" s="2347"/>
      <c r="N13" s="2348"/>
      <c r="O13" s="205"/>
      <c r="P13" s="1402"/>
      <c r="Q13" s="1402"/>
    </row>
    <row r="14" spans="1:17" x14ac:dyDescent="0.25">
      <c r="A14" s="42" t="s">
        <v>459</v>
      </c>
      <c r="B14" s="2346">
        <f>SUM('2.sz.melléklet'!J135)</f>
        <v>100000000</v>
      </c>
      <c r="C14" s="2347">
        <f>SUM('17. sz.melléklet'!C14)</f>
        <v>100000000</v>
      </c>
      <c r="D14" s="2347">
        <f>SUM('17. sz.melléklet'!D14)</f>
        <v>0</v>
      </c>
      <c r="E14" s="2347">
        <f>SUM('17. sz.melléklet'!E14)</f>
        <v>0</v>
      </c>
      <c r="F14" s="2347">
        <f>SUM('17. sz.melléklet'!F14)</f>
        <v>0</v>
      </c>
      <c r="G14" s="2347">
        <f>SUM('17. sz.melléklet'!G14)</f>
        <v>0</v>
      </c>
      <c r="H14" s="2347">
        <f>SUM('17. sz.melléklet'!H14)</f>
        <v>0</v>
      </c>
      <c r="I14" s="2347">
        <f>SUM('17. sz.melléklet'!I14)</f>
        <v>0</v>
      </c>
      <c r="J14" s="2347">
        <f>SUM('17. sz.melléklet'!J14)</f>
        <v>0</v>
      </c>
      <c r="K14" s="2347">
        <f>SUM('17. sz.melléklet'!K14)</f>
        <v>0</v>
      </c>
      <c r="L14" s="2347">
        <f>SUM('17. sz.melléklet'!L14)</f>
        <v>0</v>
      </c>
      <c r="M14" s="2347">
        <f>SUM('17. sz.melléklet'!M14)</f>
        <v>0</v>
      </c>
      <c r="N14" s="2347">
        <f>SUM('17. sz.melléklet'!N14)</f>
        <v>0</v>
      </c>
      <c r="O14" s="205"/>
      <c r="P14" s="1402"/>
      <c r="Q14" s="1402"/>
    </row>
    <row r="15" spans="1:17" ht="13.8" thickBot="1" x14ac:dyDescent="0.3">
      <c r="A15" s="501" t="s">
        <v>302</v>
      </c>
      <c r="B15" s="2349">
        <f>SUM('2.sz.melléklet'!K135+'6. sz.melléklet'!M21)</f>
        <v>751463000</v>
      </c>
      <c r="C15" s="2350">
        <f>SUM('17. sz.melléklet'!C15+'17. sz.melléklet'!C40+'17. sz.melléklet'!C58+'17. sz.melléklet'!C76+'17. sz.melléklet'!C94)</f>
        <v>37421916.666666664</v>
      </c>
      <c r="D15" s="2350">
        <f>SUM('17. sz.melléklet'!D15+'17. sz.melléklet'!D40+'17. sz.melléklet'!D58+'17. sz.melléklet'!D76+'17. sz.melléklet'!D94)</f>
        <v>57221866.666666672</v>
      </c>
      <c r="E15" s="2350">
        <f>SUM('17. sz.melléklet'!E15+'17. sz.melléklet'!E40+'17. sz.melléklet'!E58+'17. sz.melléklet'!E76+'17. sz.melléklet'!E94)</f>
        <v>57621866.666666672</v>
      </c>
      <c r="F15" s="2350">
        <f>SUM('17. sz.melléklet'!F15+'17. sz.melléklet'!F40+'17. sz.melléklet'!F58+'17. sz.melléklet'!F76+'17. sz.melléklet'!F94)</f>
        <v>57221866.666666672</v>
      </c>
      <c r="G15" s="2350">
        <f>SUM('17. sz.melléklet'!G15+'17. sz.melléklet'!G40+'17. sz.melléklet'!G58+'17. sz.melléklet'!G76+'17. sz.melléklet'!G94)</f>
        <v>139223216.66666666</v>
      </c>
      <c r="H15" s="2350">
        <f>SUM('17. sz.melléklet'!H15+'17. sz.melléklet'!H40+'17. sz.melléklet'!H58+'17. sz.melléklet'!H76+'17. sz.melléklet'!H94)</f>
        <v>177621916.66666669</v>
      </c>
      <c r="I15" s="2350">
        <f>SUM('17. sz.melléklet'!I15+'17. sz.melléklet'!I40+'17. sz.melléklet'!I58+'17. sz.melléklet'!I76+'17. sz.melléklet'!I94)</f>
        <v>37422676.666666664</v>
      </c>
      <c r="J15" s="2350">
        <f>SUM('17. sz.melléklet'!J15+'17. sz.melléklet'!J40+'17. sz.melléklet'!J58+'17. sz.melléklet'!J76+'17. sz.melléklet'!J94)</f>
        <v>37621366.666666664</v>
      </c>
      <c r="K15" s="2350">
        <f>SUM('17. sz.melléklet'!K15+'17. sz.melléklet'!K40+'17. sz.melléklet'!K58+'17. sz.melléklet'!K76+'17. sz.melléklet'!K94)</f>
        <v>37221506.666666664</v>
      </c>
      <c r="L15" s="2350">
        <f>SUM('17. sz.melléklet'!L15+'17. sz.melléklet'!L40+'17. sz.melléklet'!L58+'17. sz.melléklet'!L76+'17. sz.melléklet'!L94)</f>
        <v>37621466.666666664</v>
      </c>
      <c r="M15" s="2350">
        <f>SUM('17. sz.melléklet'!M15+'17. sz.melléklet'!M40+'17. sz.melléklet'!M58+'17. sz.melléklet'!M76+'17. sz.melléklet'!M94)</f>
        <v>37621866.666666664</v>
      </c>
      <c r="N15" s="2350">
        <f>SUM('17. sz.melléklet'!N15+'17. sz.melléklet'!N40+'17. sz.melléklet'!N58+'17. sz.melléklet'!N76+'17. sz.melléklet'!N94)</f>
        <v>37621466.666666664</v>
      </c>
      <c r="O15" s="205"/>
      <c r="P15" s="1402"/>
      <c r="Q15" s="1402"/>
    </row>
    <row r="16" spans="1:17" ht="13.8" thickBot="1" x14ac:dyDescent="0.3">
      <c r="A16" s="44" t="s">
        <v>19</v>
      </c>
      <c r="B16" s="2351">
        <f t="shared" ref="B16:N16" si="0">SUM(B8:B15)</f>
        <v>2683490663</v>
      </c>
      <c r="C16" s="2352">
        <f t="shared" si="0"/>
        <v>195298435.41666666</v>
      </c>
      <c r="D16" s="2352">
        <f t="shared" si="0"/>
        <v>116202832.41666667</v>
      </c>
      <c r="E16" s="2352">
        <f t="shared" si="0"/>
        <v>348232457.41666669</v>
      </c>
      <c r="F16" s="2352">
        <f t="shared" si="0"/>
        <v>114391938.41666667</v>
      </c>
      <c r="G16" s="2352">
        <f t="shared" si="0"/>
        <v>203702735.41666666</v>
      </c>
      <c r="H16" s="2352">
        <f t="shared" si="0"/>
        <v>270099988.41666669</v>
      </c>
      <c r="I16" s="2352">
        <f t="shared" si="0"/>
        <v>95641642.416666657</v>
      </c>
      <c r="J16" s="2352">
        <f t="shared" si="0"/>
        <v>107195885.41666666</v>
      </c>
      <c r="K16" s="2352">
        <f t="shared" si="0"/>
        <v>190483028.41666666</v>
      </c>
      <c r="L16" s="2352">
        <f t="shared" si="0"/>
        <v>200672519.41666666</v>
      </c>
      <c r="M16" s="2352">
        <f t="shared" si="0"/>
        <v>705379850.41666663</v>
      </c>
      <c r="N16" s="2352">
        <f t="shared" si="0"/>
        <v>136189349.41666666</v>
      </c>
      <c r="O16" s="205"/>
      <c r="P16" s="1402"/>
      <c r="Q16" s="1402"/>
    </row>
    <row r="17" spans="1:17" ht="13.2" x14ac:dyDescent="0.25">
      <c r="A17" s="45"/>
      <c r="B17" s="2353"/>
      <c r="C17" s="2354"/>
      <c r="D17" s="2354"/>
      <c r="E17" s="2354"/>
      <c r="F17" s="2354"/>
      <c r="G17" s="2354"/>
      <c r="H17" s="2354"/>
      <c r="I17" s="2354"/>
      <c r="J17" s="2354"/>
      <c r="K17" s="2354"/>
      <c r="L17" s="2354"/>
      <c r="M17" s="2354"/>
      <c r="N17" s="2353"/>
      <c r="O17" s="205"/>
      <c r="P17" s="1402"/>
      <c r="Q17" s="1402"/>
    </row>
    <row r="18" spans="1:17" ht="13.2" x14ac:dyDescent="0.25">
      <c r="A18" s="46" t="s">
        <v>41</v>
      </c>
      <c r="B18" s="2355"/>
      <c r="C18" s="2345"/>
      <c r="D18" s="2345"/>
      <c r="E18" s="2345"/>
      <c r="F18" s="2345"/>
      <c r="G18" s="2345"/>
      <c r="H18" s="2345"/>
      <c r="I18" s="2345"/>
      <c r="J18" s="2345"/>
      <c r="K18" s="2345"/>
      <c r="L18" s="2345"/>
      <c r="M18" s="2345"/>
      <c r="N18" s="2355"/>
      <c r="O18" s="205"/>
      <c r="P18" s="1402"/>
      <c r="Q18" s="1402"/>
    </row>
    <row r="19" spans="1:17" ht="13.2" x14ac:dyDescent="0.25">
      <c r="A19" s="47"/>
      <c r="B19" s="2355"/>
      <c r="C19" s="2345"/>
      <c r="D19" s="2345"/>
      <c r="E19" s="2345"/>
      <c r="F19" s="2345"/>
      <c r="G19" s="2345"/>
      <c r="H19" s="2345"/>
      <c r="I19" s="2345"/>
      <c r="J19" s="2345"/>
      <c r="K19" s="2345"/>
      <c r="L19" s="2345"/>
      <c r="M19" s="2345"/>
      <c r="N19" s="2355"/>
      <c r="O19" s="205"/>
      <c r="P19" s="1402"/>
      <c r="Q19" s="1402"/>
    </row>
    <row r="20" spans="1:17" x14ac:dyDescent="0.25">
      <c r="A20" s="42" t="s">
        <v>42</v>
      </c>
      <c r="B20" s="2344">
        <f>SUM('2.sz.melléklet'!C336+'2.sz.melléklet'!D336+'2.sz.melléklet'!E336+'2.sz.melléklet'!I336)</f>
        <v>814279453</v>
      </c>
      <c r="C20" s="2345">
        <f>SUM('17. sz.melléklet'!C20+'17. sz.melléklet'!C47+'17. sz.melléklet'!C64+'17. sz.melléklet'!C83+'17. sz.melléklet'!C101)</f>
        <v>67940359.416666672</v>
      </c>
      <c r="D20" s="2345">
        <f>SUM('17. sz.melléklet'!D20+'17. sz.melléklet'!D47+'17. sz.melléklet'!D64+'17. sz.melléklet'!D83+'17. sz.melléklet'!D101)</f>
        <v>67940359.416666672</v>
      </c>
      <c r="E20" s="2345">
        <f>SUM('17. sz.melléklet'!E20+'17. sz.melléklet'!E47+'17. sz.melléklet'!E64+'17. sz.melléklet'!E83+'17. sz.melléklet'!E101)</f>
        <v>67940359.416666672</v>
      </c>
      <c r="F20" s="2345">
        <f>SUM('17. sz.melléklet'!F20+'17. sz.melléklet'!F47+'17. sz.melléklet'!F64+'17. sz.melléklet'!F83+'17. sz.melléklet'!F101)</f>
        <v>67940359.416666672</v>
      </c>
      <c r="G20" s="2345">
        <f>SUM('17. sz.melléklet'!G20+'17. sz.melléklet'!G47+'17. sz.melléklet'!G64+'17. sz.melléklet'!G83+'17. sz.melléklet'!G101)</f>
        <v>67940359.416666672</v>
      </c>
      <c r="H20" s="2345">
        <f>SUM('17. sz.melléklet'!H20+'17. sz.melléklet'!H47+'17. sz.melléklet'!H64+'17. sz.melléklet'!H83+'17. sz.melléklet'!H101)</f>
        <v>67940359.416666672</v>
      </c>
      <c r="I20" s="2345">
        <f>SUM('17. sz.melléklet'!I20+'17. sz.melléklet'!I47+'17. sz.melléklet'!I64+'17. sz.melléklet'!I83+'17. sz.melléklet'!I101)</f>
        <v>67940359.416666672</v>
      </c>
      <c r="J20" s="2345">
        <f>SUM('17. sz.melléklet'!J20+'17. sz.melléklet'!J47+'17. sz.melléklet'!J64+'17. sz.melléklet'!J83+'17. sz.melléklet'!J101)</f>
        <v>67940359.416666672</v>
      </c>
      <c r="K20" s="2345">
        <f>SUM('17. sz.melléklet'!K20+'17. sz.melléklet'!K47+'17. sz.melléklet'!K64+'17. sz.melléklet'!K83+'17. sz.melléklet'!K101)</f>
        <v>67940359.416666672</v>
      </c>
      <c r="L20" s="2345">
        <f>SUM('17. sz.melléklet'!L20+'17. sz.melléklet'!L47+'17. sz.melléklet'!L64+'17. sz.melléklet'!L83+'17. sz.melléklet'!L101)</f>
        <v>67940359.416666672</v>
      </c>
      <c r="M20" s="2345">
        <f>SUM('17. sz.melléklet'!M20+'17. sz.melléklet'!M47+'17. sz.melléklet'!M64+'17. sz.melléklet'!M83+'17. sz.melléklet'!M101)</f>
        <v>67940359.416666672</v>
      </c>
      <c r="N20" s="2345">
        <f>SUM('17. sz.melléklet'!N20+'17. sz.melléklet'!N47+'17. sz.melléklet'!N64+'17. sz.melléklet'!N83+'17. sz.melléklet'!N101)</f>
        <v>67935499.416666672</v>
      </c>
      <c r="O20" s="205"/>
      <c r="P20" s="1402"/>
      <c r="Q20" s="1402"/>
    </row>
    <row r="21" spans="1:17" x14ac:dyDescent="0.25">
      <c r="A21" s="42" t="s">
        <v>43</v>
      </c>
      <c r="B21" s="2344">
        <f>SUM('2.sz.melléklet'!G336)</f>
        <v>295039503</v>
      </c>
      <c r="C21" s="2345">
        <f>SUM('17. sz.melléklet'!C21)</f>
        <v>0</v>
      </c>
      <c r="D21" s="2345">
        <f>SUM('17. sz.melléklet'!D21)</f>
        <v>0</v>
      </c>
      <c r="E21" s="2345">
        <f>SUM('17. sz.melléklet'!E21)</f>
        <v>958215</v>
      </c>
      <c r="F21" s="2345">
        <f>SUM('17. sz.melléklet'!F21)</f>
        <v>1000000</v>
      </c>
      <c r="G21" s="2345">
        <f>SUM('17. sz.melléklet'!G21)</f>
        <v>82568425</v>
      </c>
      <c r="H21" s="2345">
        <f>SUM('17. sz.melléklet'!H21)</f>
        <v>128512863</v>
      </c>
      <c r="I21" s="2345">
        <f>SUM('17. sz.melléklet'!I21)</f>
        <v>64000000</v>
      </c>
      <c r="J21" s="2345">
        <f>SUM('17. sz.melléklet'!J21)</f>
        <v>5000000</v>
      </c>
      <c r="K21" s="2345">
        <f>SUM('17. sz.melléklet'!K21)</f>
        <v>0</v>
      </c>
      <c r="L21" s="2345">
        <f>SUM('17. sz.melléklet'!L21)</f>
        <v>12000000</v>
      </c>
      <c r="M21" s="2345">
        <f>SUM('17. sz.melléklet'!M21)</f>
        <v>0</v>
      </c>
      <c r="N21" s="2345">
        <f>SUM('17. sz.melléklet'!N21)</f>
        <v>0</v>
      </c>
      <c r="O21" s="205"/>
      <c r="P21" s="1402"/>
      <c r="Q21" s="1402"/>
    </row>
    <row r="22" spans="1:17" x14ac:dyDescent="0.25">
      <c r="A22" s="42" t="s">
        <v>124</v>
      </c>
      <c r="B22" s="2344">
        <f>SUM('2.sz.melléklet'!H336)</f>
        <v>912367627</v>
      </c>
      <c r="C22" s="2345">
        <f>SUM('17. sz.melléklet'!C22+'17. sz.melléklet'!C46+'17. sz.melléklet'!C65+'17. sz.melléklet'!C82+'17. sz.melléklet'!C100)</f>
        <v>150000</v>
      </c>
      <c r="D22" s="2345">
        <f>SUM('17. sz.melléklet'!D22+'17. sz.melléklet'!D46+'17. sz.melléklet'!D65+'17. sz.melléklet'!D82+'17. sz.melléklet'!D100)</f>
        <v>3824400</v>
      </c>
      <c r="E22" s="2345">
        <f>SUM('17. sz.melléklet'!E22+'17. sz.melléklet'!E46+'17. sz.melléklet'!E65+'17. sz.melléklet'!E82+'17. sz.melléklet'!E100)</f>
        <v>1078500</v>
      </c>
      <c r="F22" s="2345">
        <f>SUM('17. sz.melléklet'!F22+'17. sz.melléklet'!F46+'17. sz.melléklet'!F65+'17. sz.melléklet'!F82+'17. sz.melléklet'!F100)</f>
        <v>1258500</v>
      </c>
      <c r="G22" s="2345">
        <f>SUM('17. sz.melléklet'!G22+'17. sz.melléklet'!G46+'17. sz.melléklet'!G65+'17. sz.melléklet'!G82+'17. sz.melléklet'!G100)</f>
        <v>44002500</v>
      </c>
      <c r="H22" s="2345">
        <f>SUM('17. sz.melléklet'!H22+'17. sz.melléklet'!H46+'17. sz.melléklet'!H65+'17. sz.melléklet'!H82+'17. sz.melléklet'!H100)</f>
        <v>24830833</v>
      </c>
      <c r="I22" s="2345">
        <f>SUM('17. sz.melléklet'!I22+'17. sz.melléklet'!I46+'17. sz.melléklet'!I65+'17. sz.melléklet'!I82+'17. sz.melléklet'!I100)</f>
        <v>29146500</v>
      </c>
      <c r="J22" s="2345">
        <f>SUM('17. sz.melléklet'!J22+'17. sz.melléklet'!J46+'17. sz.melléklet'!J65+'17. sz.melléklet'!J82+'17. sz.melléklet'!J100)</f>
        <v>67658500</v>
      </c>
      <c r="K22" s="2345">
        <f>SUM('17. sz.melléklet'!K22+'17. sz.melléklet'!K46+'17. sz.melléklet'!K65+'17. sz.melléklet'!K82+'17. sz.melléklet'!K100)</f>
        <v>35041200</v>
      </c>
      <c r="L22" s="2345">
        <f>SUM('17. sz.melléklet'!L22+'17. sz.melléklet'!L46+'17. sz.melléklet'!L65+'17. sz.melléklet'!L82+'17. sz.melléklet'!L100)</f>
        <v>6449500</v>
      </c>
      <c r="M22" s="2345">
        <f>SUM('17. sz.melléklet'!M22+'17. sz.melléklet'!M46+'17. sz.melléklet'!M65+'17. sz.melléklet'!M82+'17. sz.melléklet'!M100)</f>
        <v>698442027</v>
      </c>
      <c r="N22" s="2345">
        <f>SUM('17. sz.melléklet'!N22+'17. sz.melléklet'!N46+'17. sz.melléklet'!N65+'17. sz.melléklet'!N82+'17. sz.melléklet'!N100)</f>
        <v>485167</v>
      </c>
      <c r="O22" s="205"/>
      <c r="P22" s="1402"/>
      <c r="Q22" s="1402"/>
    </row>
    <row r="23" spans="1:17" x14ac:dyDescent="0.25">
      <c r="A23" s="42" t="s">
        <v>227</v>
      </c>
      <c r="B23" s="2344">
        <f>SUM('2.sz.melléklet'!F336)</f>
        <v>21848000</v>
      </c>
      <c r="C23" s="2345">
        <f>SUM('17. sz.melléklet'!C23)</f>
        <v>1820666.6666666667</v>
      </c>
      <c r="D23" s="2345">
        <f>SUM('17. sz.melléklet'!D23)</f>
        <v>1820666.6666666667</v>
      </c>
      <c r="E23" s="2345">
        <f>SUM('17. sz.melléklet'!E23)</f>
        <v>1820666.6666666667</v>
      </c>
      <c r="F23" s="2345">
        <f>SUM('17. sz.melléklet'!F23)</f>
        <v>1820666.6666666667</v>
      </c>
      <c r="G23" s="2345">
        <f>SUM('17. sz.melléklet'!G23)</f>
        <v>1820666.6666666667</v>
      </c>
      <c r="H23" s="2345">
        <f>SUM('17. sz.melléklet'!H23)</f>
        <v>1820666.6666666667</v>
      </c>
      <c r="I23" s="2345">
        <f>SUM('17. sz.melléklet'!I23)</f>
        <v>1820666.6666666667</v>
      </c>
      <c r="J23" s="2345">
        <f>SUM('17. sz.melléklet'!J23)</f>
        <v>1820666.6666666667</v>
      </c>
      <c r="K23" s="2345">
        <f>SUM('17. sz.melléklet'!K23)</f>
        <v>1820666.6666666667</v>
      </c>
      <c r="L23" s="2345">
        <f>SUM('17. sz.melléklet'!L23)</f>
        <v>1820666.6666666667</v>
      </c>
      <c r="M23" s="2345">
        <f>SUM('17. sz.melléklet'!M23)</f>
        <v>1820666.6666666667</v>
      </c>
      <c r="N23" s="2345">
        <f>SUM('17. sz.melléklet'!N23)</f>
        <v>1820666.6666666667</v>
      </c>
      <c r="O23" s="205"/>
      <c r="P23" s="1402"/>
      <c r="Q23" s="1402"/>
    </row>
    <row r="24" spans="1:17" x14ac:dyDescent="0.25">
      <c r="A24" s="42" t="s">
        <v>461</v>
      </c>
      <c r="B24" s="2344">
        <f>SUM('2.sz.melléklet'!J336)</f>
        <v>6127431</v>
      </c>
      <c r="C24" s="2345"/>
      <c r="D24" s="2345">
        <f>SUM('17. sz.melléklet'!D24)</f>
        <v>0</v>
      </c>
      <c r="E24" s="2345">
        <f>SUM('17. sz.melléklet'!E24)</f>
        <v>0</v>
      </c>
      <c r="F24" s="2345">
        <f>SUM('17. sz.melléklet'!F24)</f>
        <v>6127431</v>
      </c>
      <c r="G24" s="2345">
        <f>SUM('17. sz.melléklet'!G24)</f>
        <v>0</v>
      </c>
      <c r="H24" s="2345">
        <f>SUM('17. sz.melléklet'!H24)</f>
        <v>0</v>
      </c>
      <c r="I24" s="2345">
        <f>SUM('17. sz.melléklet'!I24)</f>
        <v>0</v>
      </c>
      <c r="J24" s="2345">
        <f>SUM('17. sz.melléklet'!J24)</f>
        <v>0</v>
      </c>
      <c r="K24" s="2345">
        <f>SUM('17. sz.melléklet'!K24)</f>
        <v>0</v>
      </c>
      <c r="L24" s="2345">
        <f>SUM('17. sz.melléklet'!L24)</f>
        <v>0</v>
      </c>
      <c r="M24" s="2345">
        <f>SUM('17. sz.melléklet'!M24)</f>
        <v>0</v>
      </c>
      <c r="N24" s="2345">
        <f>SUM('17. sz.melléklet'!N24)</f>
        <v>0</v>
      </c>
      <c r="O24" s="205"/>
      <c r="P24" s="1402"/>
      <c r="Q24" s="1402"/>
    </row>
    <row r="25" spans="1:17" x14ac:dyDescent="0.25">
      <c r="A25" s="42" t="s">
        <v>44</v>
      </c>
      <c r="B25" s="2344">
        <f>SUM('2.sz.melléklet'!K336+'2.sz.melléklet'!L336)</f>
        <v>81132284</v>
      </c>
      <c r="C25" s="2345"/>
      <c r="D25" s="2345">
        <f>SUM('17. sz.melléklet'!D25)</f>
        <v>0</v>
      </c>
      <c r="E25" s="2345">
        <f>SUM('17. sz.melléklet'!E25)</f>
        <v>29545000</v>
      </c>
      <c r="F25" s="2345">
        <f>SUM('17. sz.melléklet'!F25)</f>
        <v>0</v>
      </c>
      <c r="G25" s="2345">
        <f>SUM('17. sz.melléklet'!G25)</f>
        <v>0</v>
      </c>
      <c r="H25" s="2345">
        <f>SUM('17. sz.melléklet'!H25)</f>
        <v>19915794</v>
      </c>
      <c r="I25" s="2345">
        <f>SUM('17. sz.melléklet'!I25)</f>
        <v>0</v>
      </c>
      <c r="J25" s="2345">
        <f>SUM('17. sz.melléklet'!J25)</f>
        <v>17354062</v>
      </c>
      <c r="K25" s="2345">
        <f>SUM('17. sz.melléklet'!K25)</f>
        <v>0</v>
      </c>
      <c r="L25" s="2345">
        <f>SUM('17. sz.melléklet'!L25)</f>
        <v>0</v>
      </c>
      <c r="M25" s="2345">
        <f>SUM('17. sz.melléklet'!M25)</f>
        <v>14317428</v>
      </c>
      <c r="N25" s="2345">
        <f>SUM('17. sz.melléklet'!N25)</f>
        <v>0</v>
      </c>
      <c r="O25" s="205"/>
      <c r="P25" s="1402"/>
      <c r="Q25" s="1402"/>
    </row>
    <row r="26" spans="1:17" ht="13.8" thickBot="1" x14ac:dyDescent="0.3">
      <c r="A26" s="50" t="s">
        <v>126</v>
      </c>
      <c r="B26" s="2356">
        <f>SUM('2.sz.melléklet'!M336+'6. sz.melléklet'!M21)</f>
        <v>552696365</v>
      </c>
      <c r="C26" s="2357">
        <f>SUM('17. sz.melléklet'!C26)</f>
        <v>37421916.666666664</v>
      </c>
      <c r="D26" s="2357">
        <f>SUM('17. sz.melléklet'!D26)</f>
        <v>37221866.666666664</v>
      </c>
      <c r="E26" s="2357">
        <f>SUM('17. sz.melléklet'!E26)</f>
        <v>37621866.666666664</v>
      </c>
      <c r="F26" s="2357">
        <f>SUM('17. sz.melléklet'!F26)</f>
        <v>37221866.666666664</v>
      </c>
      <c r="G26" s="2357">
        <f>SUM('17. sz.melléklet'!G26)</f>
        <v>39223216.666666672</v>
      </c>
      <c r="H26" s="2357">
        <f>SUM('17. sz.melléklet'!H26)</f>
        <v>37621916.666666664</v>
      </c>
      <c r="I26" s="2357">
        <f>SUM('17. sz.melléklet'!I26)</f>
        <v>37422676.666666664</v>
      </c>
      <c r="J26" s="2357">
        <f>SUM('17. sz.melléklet'!J26)</f>
        <v>37621366.666666664</v>
      </c>
      <c r="K26" s="2357">
        <f>SUM('17. sz.melléklet'!K26)</f>
        <v>87838189.666666657</v>
      </c>
      <c r="L26" s="2357">
        <f>SUM('17. sz.melléklet'!L26)</f>
        <v>88238148.666666657</v>
      </c>
      <c r="M26" s="2357">
        <f>SUM('17. sz.melléklet'!M26)</f>
        <v>37621866.666666664</v>
      </c>
      <c r="N26" s="2357">
        <f>SUM('17. sz.melléklet'!N26)</f>
        <v>37621466.666666664</v>
      </c>
      <c r="O26" s="205"/>
      <c r="P26" s="1402"/>
      <c r="Q26" s="1402"/>
    </row>
    <row r="27" spans="1:17" ht="13.8" thickBot="1" x14ac:dyDescent="0.3">
      <c r="A27" s="48" t="s">
        <v>45</v>
      </c>
      <c r="B27" s="2358">
        <f t="shared" ref="B27:N27" si="1">SUM(B20:B26)</f>
        <v>2683490663</v>
      </c>
      <c r="C27" s="2359">
        <f t="shared" si="1"/>
        <v>107332942.75</v>
      </c>
      <c r="D27" s="2359">
        <f t="shared" si="1"/>
        <v>110807292.75</v>
      </c>
      <c r="E27" s="2359">
        <f t="shared" si="1"/>
        <v>138964607.75</v>
      </c>
      <c r="F27" s="2359">
        <f t="shared" si="1"/>
        <v>115368823.75</v>
      </c>
      <c r="G27" s="2359">
        <f t="shared" si="1"/>
        <v>235555167.75</v>
      </c>
      <c r="H27" s="2359">
        <f t="shared" si="1"/>
        <v>280642432.75</v>
      </c>
      <c r="I27" s="2359">
        <f t="shared" si="1"/>
        <v>200330202.75</v>
      </c>
      <c r="J27" s="2359">
        <f t="shared" si="1"/>
        <v>197394954.75</v>
      </c>
      <c r="K27" s="2359">
        <f t="shared" si="1"/>
        <v>192640415.75</v>
      </c>
      <c r="L27" s="2359">
        <f t="shared" si="1"/>
        <v>176448674.75</v>
      </c>
      <c r="M27" s="2359">
        <f t="shared" si="1"/>
        <v>820142347.74999988</v>
      </c>
      <c r="N27" s="2358">
        <f t="shared" si="1"/>
        <v>107862799.75</v>
      </c>
      <c r="O27" s="205"/>
      <c r="P27" s="1402"/>
      <c r="Q27" s="1402"/>
    </row>
    <row r="28" spans="1:17" ht="13.8" thickBot="1" x14ac:dyDescent="0.3">
      <c r="A28" s="49"/>
      <c r="B28" s="2360"/>
      <c r="C28" s="2361"/>
      <c r="D28" s="2361"/>
      <c r="E28" s="2361"/>
      <c r="F28" s="2361"/>
      <c r="G28" s="2361"/>
      <c r="H28" s="2361"/>
      <c r="I28" s="2361"/>
      <c r="J28" s="2361"/>
      <c r="K28" s="2361"/>
      <c r="L28" s="2361"/>
      <c r="M28" s="2361"/>
      <c r="N28" s="2360"/>
      <c r="O28" s="205"/>
      <c r="P28" s="1402"/>
      <c r="Q28" s="1402"/>
    </row>
    <row r="29" spans="1:17" ht="13.8" thickBot="1" x14ac:dyDescent="0.3">
      <c r="A29" s="48" t="s">
        <v>46</v>
      </c>
      <c r="B29" s="2362">
        <f>B27-B16</f>
        <v>0</v>
      </c>
      <c r="C29" s="2363">
        <f>C16-C27</f>
        <v>87965492.666666657</v>
      </c>
      <c r="D29" s="2363">
        <f t="shared" ref="D29:N29" si="2">D16-D27</f>
        <v>5395539.6666666716</v>
      </c>
      <c r="E29" s="2363">
        <f t="shared" si="2"/>
        <v>209267849.66666669</v>
      </c>
      <c r="F29" s="2363">
        <f t="shared" si="2"/>
        <v>-976885.33333332837</v>
      </c>
      <c r="G29" s="2363">
        <f t="shared" si="2"/>
        <v>-31852432.333333343</v>
      </c>
      <c r="H29" s="2363">
        <f t="shared" si="2"/>
        <v>-10542444.333333313</v>
      </c>
      <c r="I29" s="2363">
        <f t="shared" si="2"/>
        <v>-104688560.33333334</v>
      </c>
      <c r="J29" s="2363">
        <f t="shared" si="2"/>
        <v>-90199069.333333343</v>
      </c>
      <c r="K29" s="2363">
        <f t="shared" si="2"/>
        <v>-2157387.3333333433</v>
      </c>
      <c r="L29" s="2363">
        <f t="shared" si="2"/>
        <v>24223844.666666657</v>
      </c>
      <c r="M29" s="2363">
        <f t="shared" si="2"/>
        <v>-114762497.33333325</v>
      </c>
      <c r="N29" s="2362">
        <f t="shared" si="2"/>
        <v>28326549.666666657</v>
      </c>
      <c r="O29" s="205"/>
      <c r="P29" s="1402"/>
      <c r="Q29" s="1402"/>
    </row>
    <row r="30" spans="1:17" x14ac:dyDescent="0.25">
      <c r="A30" s="145"/>
      <c r="B30" s="1402"/>
      <c r="C30" s="1402"/>
      <c r="D30" s="1402"/>
      <c r="E30" s="1402"/>
      <c r="F30" s="1402"/>
      <c r="G30" s="1402"/>
      <c r="H30" s="1402"/>
      <c r="I30" s="1402"/>
      <c r="J30" s="1402"/>
      <c r="K30" s="1402"/>
      <c r="L30" s="1402"/>
      <c r="M30" s="1402"/>
      <c r="N30" s="2449"/>
      <c r="O30" s="205"/>
      <c r="P30" s="1402"/>
      <c r="Q30" s="1402"/>
    </row>
    <row r="31" spans="1:17" s="207" customFormat="1" x14ac:dyDescent="0.25">
      <c r="A31" s="206" t="s">
        <v>74</v>
      </c>
      <c r="B31" s="2365"/>
      <c r="C31" s="2365">
        <f>C16-C27</f>
        <v>87965492.666666657</v>
      </c>
      <c r="D31" s="2365">
        <f>C31+D16-D27</f>
        <v>93361032.333333313</v>
      </c>
      <c r="E31" s="2365">
        <f t="shared" ref="E31:N31" si="3">D31+E16-E27</f>
        <v>302628882</v>
      </c>
      <c r="F31" s="2365">
        <f t="shared" si="3"/>
        <v>301651996.66666669</v>
      </c>
      <c r="G31" s="2365">
        <f t="shared" si="3"/>
        <v>269799564.33333337</v>
      </c>
      <c r="H31" s="2365">
        <f t="shared" si="3"/>
        <v>259257120</v>
      </c>
      <c r="I31" s="2365">
        <f t="shared" si="3"/>
        <v>154568559.66666663</v>
      </c>
      <c r="J31" s="2365">
        <f t="shared" si="3"/>
        <v>64369490.333333284</v>
      </c>
      <c r="K31" s="2365">
        <f t="shared" si="3"/>
        <v>62212102.99999994</v>
      </c>
      <c r="L31" s="2365">
        <f t="shared" si="3"/>
        <v>86435947.666666597</v>
      </c>
      <c r="M31" s="2365">
        <f t="shared" si="3"/>
        <v>-28326549.666666627</v>
      </c>
      <c r="N31" s="2365">
        <f t="shared" si="3"/>
        <v>0</v>
      </c>
      <c r="O31" s="205"/>
      <c r="P31" s="1402"/>
      <c r="Q31" s="1402"/>
    </row>
    <row r="32" spans="1:17" x14ac:dyDescent="0.25">
      <c r="A32" s="145"/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05"/>
      <c r="P32" s="1402"/>
      <c r="Q32" s="1402"/>
    </row>
  </sheetData>
  <mergeCells count="1">
    <mergeCell ref="A2:N2"/>
  </mergeCells>
  <phoneticPr fontId="3" type="noConversion"/>
  <pageMargins left="0.49" right="0.47" top="1" bottom="1" header="0.5" footer="0.5"/>
  <pageSetup paperSize="9" scale="86" orientation="landscape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>
    <pageSetUpPr fitToPage="1"/>
  </sheetPr>
  <dimension ref="A1:I61"/>
  <sheetViews>
    <sheetView workbookViewId="0">
      <pane ySplit="1" topLeftCell="A26" activePane="bottomLeft" state="frozen"/>
      <selection pane="bottomLeft" sqref="A1:F56"/>
    </sheetView>
  </sheetViews>
  <sheetFormatPr defaultColWidth="9.109375" defaultRowHeight="12.6" x14ac:dyDescent="0.25"/>
  <cols>
    <col min="1" max="1" width="1.109375" customWidth="1"/>
    <col min="2" max="2" width="43.33203125" customWidth="1"/>
    <col min="3" max="3" width="34.5546875" customWidth="1"/>
    <col min="4" max="5" width="0.109375" customWidth="1"/>
    <col min="6" max="6" width="0.109375" style="1415" customWidth="1"/>
    <col min="7" max="7" width="14.44140625" bestFit="1" customWidth="1"/>
    <col min="8" max="8" width="9.44140625" bestFit="1" customWidth="1"/>
    <col min="9" max="9" width="12.88671875" bestFit="1" customWidth="1"/>
  </cols>
  <sheetData>
    <row r="1" spans="1:9" ht="30" customHeight="1" thickBot="1" x14ac:dyDescent="0.4">
      <c r="A1" s="2538" t="s">
        <v>554</v>
      </c>
      <c r="B1" s="2539"/>
      <c r="C1" s="2539"/>
      <c r="D1" s="2539"/>
      <c r="E1" s="2539"/>
      <c r="F1" s="2540"/>
    </row>
    <row r="2" spans="1:9" ht="3" hidden="1" customHeight="1" x14ac:dyDescent="0.25"/>
    <row r="3" spans="1:9" ht="3" hidden="1" customHeight="1" x14ac:dyDescent="0.25"/>
    <row r="4" spans="1:9" ht="15.75" customHeight="1" thickBot="1" x14ac:dyDescent="0.3">
      <c r="C4" s="1416" t="s">
        <v>362</v>
      </c>
      <c r="D4" s="1417" t="s">
        <v>363</v>
      </c>
    </row>
    <row r="5" spans="1:9" ht="13.2" thickBot="1" x14ac:dyDescent="0.3">
      <c r="A5" s="1418" t="s">
        <v>298</v>
      </c>
      <c r="B5" s="1419"/>
      <c r="C5" s="1420">
        <f>SUM('5.a.sz. melléklet'!C89)</f>
        <v>89899000</v>
      </c>
      <c r="D5" s="1421" t="e">
        <f>SUM('5.a.sz. melléklet'!C90)</f>
        <v>#REF!</v>
      </c>
      <c r="E5" s="1422" t="e">
        <f>SUM('5.a.sz. melléklet'!C91)</f>
        <v>#REF!</v>
      </c>
      <c r="F5" s="1423" t="e">
        <f>SUM(D5)</f>
        <v>#REF!</v>
      </c>
    </row>
    <row r="6" spans="1:9" ht="13.5" customHeight="1" thickBot="1" x14ac:dyDescent="0.3">
      <c r="A6" s="83"/>
      <c r="B6" s="83"/>
      <c r="C6" s="83"/>
      <c r="D6" s="1421"/>
      <c r="E6" s="83"/>
      <c r="F6" s="1424"/>
    </row>
    <row r="7" spans="1:9" x14ac:dyDescent="0.25">
      <c r="A7" s="1425" t="s">
        <v>182</v>
      </c>
      <c r="B7" s="1426"/>
      <c r="C7" s="1427">
        <f>SUM(C8:C12)</f>
        <v>580834000</v>
      </c>
      <c r="D7" s="1428">
        <f>SUM(D8:D12)</f>
        <v>548194</v>
      </c>
      <c r="E7" s="1429"/>
      <c r="F7" s="1424"/>
      <c r="G7" s="52"/>
      <c r="H7" s="52"/>
      <c r="I7" s="52"/>
    </row>
    <row r="8" spans="1:9" x14ac:dyDescent="0.25">
      <c r="A8" s="1430"/>
      <c r="B8" s="1431" t="s">
        <v>296</v>
      </c>
      <c r="C8" s="1432">
        <v>25000000</v>
      </c>
      <c r="D8" s="1433">
        <v>29320</v>
      </c>
      <c r="E8" s="1434">
        <v>17632</v>
      </c>
      <c r="F8" s="1435"/>
      <c r="G8" s="52"/>
      <c r="H8" s="52"/>
      <c r="I8" s="52"/>
    </row>
    <row r="9" spans="1:9" x14ac:dyDescent="0.25">
      <c r="A9" s="173"/>
      <c r="B9" s="1436" t="s">
        <v>101</v>
      </c>
      <c r="C9" s="1437">
        <v>550000000</v>
      </c>
      <c r="D9" s="1438">
        <v>511582</v>
      </c>
      <c r="E9" s="83">
        <v>438945</v>
      </c>
      <c r="F9" s="1435"/>
      <c r="G9" s="52"/>
      <c r="H9" s="52"/>
      <c r="I9" s="52"/>
    </row>
    <row r="10" spans="1:9" x14ac:dyDescent="0.25">
      <c r="A10" s="173"/>
      <c r="B10" s="1439" t="s">
        <v>134</v>
      </c>
      <c r="C10" s="1440">
        <v>391000</v>
      </c>
      <c r="D10" s="1441">
        <v>873</v>
      </c>
      <c r="E10" s="83">
        <v>833</v>
      </c>
      <c r="F10" s="1435"/>
      <c r="G10" s="52"/>
      <c r="H10" s="52"/>
      <c r="I10" s="52"/>
    </row>
    <row r="11" spans="1:9" x14ac:dyDescent="0.25">
      <c r="A11" s="173"/>
      <c r="B11" s="1442" t="s">
        <v>297</v>
      </c>
      <c r="C11" s="1443">
        <v>400000</v>
      </c>
      <c r="D11" s="1444">
        <v>1757</v>
      </c>
      <c r="E11" s="83">
        <v>1658</v>
      </c>
      <c r="F11" s="1435"/>
      <c r="G11" s="52"/>
      <c r="H11" s="52"/>
      <c r="I11" s="52"/>
    </row>
    <row r="12" spans="1:9" ht="13.2" thickBot="1" x14ac:dyDescent="0.3">
      <c r="A12" s="259"/>
      <c r="B12" s="226" t="s">
        <v>392</v>
      </c>
      <c r="C12" s="258">
        <f>SUM('5.a.sz. melléklet'!D27)</f>
        <v>5043000</v>
      </c>
      <c r="D12" s="1445">
        <v>4662</v>
      </c>
      <c r="E12" s="83">
        <f>SUM('5. sz.melléklet'!C24/12)+'5. sz.melléklet'!C30/12</f>
        <v>944800</v>
      </c>
      <c r="F12" s="1423">
        <f>SUM(C8:C12)</f>
        <v>580834000</v>
      </c>
      <c r="G12" s="52">
        <f>SUM('5.a.sz. melléklet'!D89)</f>
        <v>580834000</v>
      </c>
      <c r="H12" s="52"/>
      <c r="I12" s="52"/>
    </row>
    <row r="13" spans="1:9" ht="6" customHeight="1" thickBot="1" x14ac:dyDescent="0.3">
      <c r="A13" s="83"/>
      <c r="B13" s="83"/>
      <c r="C13" s="83"/>
      <c r="D13" s="280"/>
      <c r="F13"/>
      <c r="G13" s="52"/>
      <c r="H13" s="52"/>
      <c r="I13" s="52"/>
    </row>
    <row r="14" spans="1:9" x14ac:dyDescent="0.25">
      <c r="A14" s="1446" t="s">
        <v>211</v>
      </c>
      <c r="B14" s="1447"/>
      <c r="C14" s="1448">
        <f>SUM(C15:C21)</f>
        <v>129565489</v>
      </c>
      <c r="D14" s="1428">
        <f>SUM(D15:D21)</f>
        <v>7356284</v>
      </c>
      <c r="E14" s="83"/>
      <c r="F14" s="1424"/>
      <c r="G14" s="52"/>
      <c r="H14" s="52"/>
      <c r="I14" s="52"/>
    </row>
    <row r="15" spans="1:9" x14ac:dyDescent="0.25">
      <c r="A15" s="173"/>
      <c r="B15" s="1439" t="s">
        <v>210</v>
      </c>
      <c r="C15" s="1440">
        <f>SUM('5.b.sz. melléklet'!D14)</f>
        <v>0</v>
      </c>
      <c r="D15" s="1441">
        <f>SUM('5.b.sz. melléklet'!E14)</f>
        <v>0</v>
      </c>
      <c r="E15" s="83">
        <f>SUM('5.b.sz. melléklet'!F14)</f>
        <v>318</v>
      </c>
      <c r="F15" s="1424"/>
      <c r="G15" s="52"/>
      <c r="H15" s="52"/>
      <c r="I15" s="52"/>
    </row>
    <row r="16" spans="1:9" x14ac:dyDescent="0.25">
      <c r="A16" s="173"/>
      <c r="B16" s="1449" t="s">
        <v>212</v>
      </c>
      <c r="C16" s="1450">
        <f>SUM('5.b.sz. melléklet'!D15+'5.b.sz. melléklet'!D16+'5.b.sz. melléklet'!D19+'5.b.sz. melléklet'!D23)</f>
        <v>100437766</v>
      </c>
      <c r="D16" s="1441">
        <f>SUM('5.b.sz. melléklet'!E15+'5.b.sz. melléklet'!E16+'5.b.sz. melléklet'!E19+'5.b.sz. melléklet'!E23)</f>
        <v>871725</v>
      </c>
      <c r="E16" s="83">
        <f>SUM('5.b.sz. melléklet'!F15+'5.b.sz. melléklet'!F19+'5.b.sz. melléklet'!F22)</f>
        <v>61392</v>
      </c>
      <c r="F16" s="1424"/>
      <c r="G16" s="52"/>
      <c r="H16" s="52"/>
      <c r="I16" s="52"/>
    </row>
    <row r="17" spans="1:9" x14ac:dyDescent="0.25">
      <c r="A17" s="173"/>
      <c r="B17" s="1449" t="s">
        <v>213</v>
      </c>
      <c r="C17" s="1450">
        <f>SUM('5.b.sz. melléklet'!D17+'5.b.sz. melléklet'!D18)</f>
        <v>22667533</v>
      </c>
      <c r="D17" s="1441">
        <f>SUM('5.b.sz. melléklet'!E17+'5.b.sz. melléklet'!E22+'5.b.sz. melléklet'!E18)</f>
        <v>22586</v>
      </c>
      <c r="E17" s="83">
        <f>SUM('5.b.sz. melléklet'!F16+'5.b.sz. melléklet'!F17)</f>
        <v>24738</v>
      </c>
      <c r="F17" s="1424"/>
      <c r="G17" s="52"/>
      <c r="H17" s="52"/>
      <c r="I17" s="52"/>
    </row>
    <row r="18" spans="1:9" x14ac:dyDescent="0.25">
      <c r="A18" s="173"/>
      <c r="B18" s="1449" t="s">
        <v>214</v>
      </c>
      <c r="C18" s="1450">
        <f>SUM('5.b.sz. melléklet'!D20)</f>
        <v>6460190</v>
      </c>
      <c r="D18" s="1441">
        <f>SUM('5.b.sz. melléklet'!E20+'5.b.sz. melléklet'!E21)</f>
        <v>6460623</v>
      </c>
      <c r="E18" s="83">
        <f>SUM('5.b.sz. melléklet'!F20)</f>
        <v>4940</v>
      </c>
      <c r="F18" s="1424"/>
      <c r="G18" s="52"/>
      <c r="H18" s="52"/>
      <c r="I18" s="52"/>
    </row>
    <row r="19" spans="1:9" x14ac:dyDescent="0.25">
      <c r="A19" s="1451"/>
      <c r="B19" s="1439" t="s">
        <v>601</v>
      </c>
      <c r="C19" s="1440"/>
      <c r="D19" s="1441">
        <f>SUM('5.b.sz. melléklet'!E26)</f>
        <v>1350</v>
      </c>
      <c r="E19" s="83">
        <f>SUM('5.b.sz. melléklet'!F26)</f>
        <v>1885</v>
      </c>
      <c r="F19" s="1424"/>
      <c r="G19" s="52"/>
      <c r="H19" s="52"/>
      <c r="I19" s="52"/>
    </row>
    <row r="20" spans="1:9" x14ac:dyDescent="0.25">
      <c r="A20" s="83"/>
      <c r="B20" s="1452" t="s">
        <v>380</v>
      </c>
      <c r="C20" s="1437">
        <v>0</v>
      </c>
      <c r="D20" s="1441">
        <v>0</v>
      </c>
      <c r="E20" s="83">
        <f>SUM('5.b.sz. melléklet'!F29)</f>
        <v>366</v>
      </c>
      <c r="F20" s="1424"/>
      <c r="G20" s="52"/>
      <c r="H20" s="52"/>
      <c r="I20" s="52"/>
    </row>
    <row r="21" spans="1:9" ht="13.2" thickBot="1" x14ac:dyDescent="0.3">
      <c r="A21" s="83"/>
      <c r="B21" s="1453" t="s">
        <v>381</v>
      </c>
      <c r="C21" s="1454">
        <v>0</v>
      </c>
      <c r="D21" s="1441">
        <v>0</v>
      </c>
      <c r="E21" s="83"/>
      <c r="F21" s="1424">
        <f>SUM(E15:E21)</f>
        <v>93639</v>
      </c>
      <c r="G21" s="52">
        <f>SUM(C15:C21)</f>
        <v>129565489</v>
      </c>
      <c r="H21" s="52"/>
      <c r="I21" s="52"/>
    </row>
    <row r="22" spans="1:9" ht="6.75" customHeight="1" thickBot="1" x14ac:dyDescent="0.3">
      <c r="A22" s="83"/>
      <c r="B22" s="83"/>
      <c r="C22" s="83"/>
      <c r="D22" s="1421"/>
      <c r="E22" s="83"/>
      <c r="F22" s="1424"/>
      <c r="G22" s="52"/>
      <c r="H22" s="52"/>
      <c r="I22" s="52"/>
    </row>
    <row r="23" spans="1:9" ht="13.2" thickBot="1" x14ac:dyDescent="0.3">
      <c r="A23" s="1446" t="s">
        <v>104</v>
      </c>
      <c r="B23" s="1447"/>
      <c r="C23" s="1448">
        <f>SUM(C24:C35)</f>
        <v>792296174</v>
      </c>
      <c r="D23" s="1455">
        <f>SUM(D24:D30)</f>
        <v>372523797</v>
      </c>
      <c r="E23" s="83"/>
      <c r="F23" s="1424"/>
      <c r="G23" s="52"/>
      <c r="H23" s="52"/>
      <c r="I23" s="52"/>
    </row>
    <row r="24" spans="1:9" x14ac:dyDescent="0.25">
      <c r="A24" s="1456"/>
      <c r="B24" s="1457" t="s">
        <v>162</v>
      </c>
      <c r="C24" s="1458">
        <f>SUM('5.a.sz. melléklet'!F55)+'5.a.sz. melléklet'!F59</f>
        <v>11337600</v>
      </c>
      <c r="D24" s="1459">
        <f>SUM('5.a.sz. melléklet'!F56+'5.a.sz. melléklet'!F60)</f>
        <v>11337600</v>
      </c>
      <c r="E24" s="83">
        <f>SUM('5.a.sz. melléklet'!F57)</f>
        <v>0</v>
      </c>
      <c r="F24" s="1424"/>
      <c r="G24" s="52"/>
      <c r="H24" s="52"/>
      <c r="I24" s="52"/>
    </row>
    <row r="25" spans="1:9" x14ac:dyDescent="0.25">
      <c r="A25" s="1456"/>
      <c r="B25" s="1460" t="s">
        <v>105</v>
      </c>
      <c r="C25" s="1440">
        <v>4320000</v>
      </c>
      <c r="D25" s="1441">
        <f>SUM(C25)</f>
        <v>4320000</v>
      </c>
      <c r="E25" s="83">
        <v>3260</v>
      </c>
      <c r="F25" s="1424"/>
      <c r="G25" s="52"/>
      <c r="H25" s="52"/>
      <c r="I25" s="52"/>
    </row>
    <row r="26" spans="1:9" x14ac:dyDescent="0.25">
      <c r="A26" s="1456"/>
      <c r="B26" s="1460" t="s">
        <v>192</v>
      </c>
      <c r="C26" s="1440">
        <f>SUM('5.a.sz. melléklet'!F27-4320000)</f>
        <v>3000000</v>
      </c>
      <c r="D26" s="1441">
        <f t="shared" ref="D26:D29" si="0">SUM(C26)</f>
        <v>3000000</v>
      </c>
      <c r="E26" s="83">
        <v>2080</v>
      </c>
      <c r="F26" s="1424"/>
      <c r="G26" s="52"/>
      <c r="H26" s="52"/>
      <c r="I26" s="52"/>
    </row>
    <row r="27" spans="1:9" ht="36" customHeight="1" thickBot="1" x14ac:dyDescent="0.3">
      <c r="A27" s="259"/>
      <c r="B27" s="1461" t="s">
        <v>522</v>
      </c>
      <c r="C27" s="1440">
        <v>35308000</v>
      </c>
      <c r="D27" s="1441">
        <f t="shared" si="0"/>
        <v>35308000</v>
      </c>
      <c r="E27" s="83"/>
      <c r="F27" s="1424"/>
      <c r="G27" s="52"/>
      <c r="H27" s="52"/>
      <c r="I27" s="52"/>
    </row>
    <row r="28" spans="1:9" ht="17.25" customHeight="1" x14ac:dyDescent="0.25">
      <c r="A28" s="83"/>
      <c r="B28" s="1461" t="s">
        <v>456</v>
      </c>
      <c r="C28" s="1440">
        <v>1364000</v>
      </c>
      <c r="D28" s="1441">
        <f>SUM('5.a.sz. melléklet'!F24)</f>
        <v>1372086</v>
      </c>
      <c r="E28" s="83">
        <v>81</v>
      </c>
      <c r="F28" s="1424">
        <f>SUM(C24:C28)</f>
        <v>55329600</v>
      </c>
      <c r="G28" s="52"/>
      <c r="H28" s="52"/>
      <c r="I28" s="52"/>
    </row>
    <row r="29" spans="1:9" ht="18" customHeight="1" x14ac:dyDescent="0.25">
      <c r="A29" s="83"/>
      <c r="B29" s="1461" t="s">
        <v>458</v>
      </c>
      <c r="C29" s="1440">
        <v>317186111</v>
      </c>
      <c r="D29" s="1441">
        <f t="shared" si="0"/>
        <v>317186111</v>
      </c>
      <c r="E29" s="83">
        <v>71</v>
      </c>
      <c r="F29" s="1424"/>
      <c r="G29" s="52"/>
      <c r="H29" s="52"/>
      <c r="I29" s="52"/>
    </row>
    <row r="30" spans="1:9" ht="13.5" customHeight="1" x14ac:dyDescent="0.25">
      <c r="A30" s="83"/>
      <c r="B30" s="1461" t="s">
        <v>269</v>
      </c>
      <c r="C30" s="1440">
        <f>SUM('5.a.sz. melléklet'!F77)</f>
        <v>0</v>
      </c>
      <c r="D30" s="1441"/>
      <c r="E30" s="83">
        <f>SUM('5.a.sz. melléklet'!G39)</f>
        <v>0</v>
      </c>
      <c r="F30" s="1424"/>
      <c r="G30" s="52"/>
      <c r="H30" s="52"/>
      <c r="I30" s="52"/>
    </row>
    <row r="31" spans="1:9" ht="24.75" customHeight="1" x14ac:dyDescent="0.25">
      <c r="A31" s="83"/>
      <c r="B31" s="1462" t="s">
        <v>498</v>
      </c>
      <c r="C31" s="1450">
        <v>98885299</v>
      </c>
      <c r="D31" s="1463"/>
      <c r="E31" s="83"/>
      <c r="F31" s="1424"/>
      <c r="G31" s="52"/>
      <c r="H31" s="52"/>
      <c r="I31" s="52"/>
    </row>
    <row r="32" spans="1:9" ht="24.75" customHeight="1" x14ac:dyDescent="0.25">
      <c r="A32" s="83"/>
      <c r="B32" s="1464" t="s">
        <v>600</v>
      </c>
      <c r="C32" s="1450">
        <v>44758087</v>
      </c>
      <c r="D32" s="1463"/>
      <c r="E32" s="83"/>
      <c r="F32" s="1424"/>
      <c r="G32" s="52"/>
      <c r="H32" s="52"/>
      <c r="I32" s="52"/>
    </row>
    <row r="33" spans="1:9" ht="24.75" customHeight="1" x14ac:dyDescent="0.25">
      <c r="A33" s="83"/>
      <c r="B33" s="1464" t="s">
        <v>520</v>
      </c>
      <c r="C33" s="1450">
        <v>41546575</v>
      </c>
      <c r="D33" s="1463"/>
      <c r="E33" s="83"/>
      <c r="F33" s="1424"/>
      <c r="G33" s="52"/>
      <c r="H33" s="52"/>
      <c r="I33" s="52"/>
    </row>
    <row r="34" spans="1:9" ht="27" customHeight="1" thickBot="1" x14ac:dyDescent="0.3">
      <c r="A34" s="83"/>
      <c r="B34" s="1473" t="s">
        <v>521</v>
      </c>
      <c r="C34" s="1450">
        <v>60074000</v>
      </c>
      <c r="D34" s="1445"/>
      <c r="E34" s="83">
        <f>SUM('5.a.sz. melléklet'!F25)</f>
        <v>0</v>
      </c>
      <c r="F34" s="1424">
        <f>SUM(D24:D34)</f>
        <v>372523797</v>
      </c>
      <c r="G34" s="52"/>
      <c r="H34" s="52"/>
      <c r="I34" s="52"/>
    </row>
    <row r="35" spans="1:9" ht="27" customHeight="1" thickBot="1" x14ac:dyDescent="0.3">
      <c r="A35" s="83"/>
      <c r="B35" s="1465" t="s">
        <v>539</v>
      </c>
      <c r="C35" s="226">
        <v>174516502</v>
      </c>
      <c r="D35" s="1474"/>
      <c r="E35" s="83"/>
      <c r="F35" s="1424"/>
      <c r="G35" s="52"/>
      <c r="H35" s="52"/>
      <c r="I35" s="52"/>
    </row>
    <row r="36" spans="1:9" ht="13.2" thickBot="1" x14ac:dyDescent="0.3">
      <c r="A36" s="1466" t="s">
        <v>99</v>
      </c>
      <c r="B36" s="1420"/>
      <c r="C36" s="1420"/>
      <c r="D36" s="1421"/>
      <c r="E36" s="83"/>
      <c r="F36" s="1424"/>
      <c r="G36" s="52"/>
      <c r="H36" s="52"/>
      <c r="I36" s="52"/>
    </row>
    <row r="37" spans="1:9" ht="13.2" thickBot="1" x14ac:dyDescent="0.3">
      <c r="A37" s="83"/>
      <c r="B37" s="83"/>
      <c r="C37" s="83"/>
      <c r="D37" s="1421"/>
      <c r="E37" s="83"/>
      <c r="F37" s="1424"/>
      <c r="G37" s="52"/>
      <c r="H37" s="52"/>
      <c r="I37" s="52"/>
    </row>
    <row r="38" spans="1:9" x14ac:dyDescent="0.25">
      <c r="A38" s="1446" t="s">
        <v>100</v>
      </c>
      <c r="B38" s="1447"/>
      <c r="C38" s="1448">
        <f>SUM(C39:C40)</f>
        <v>0</v>
      </c>
      <c r="D38" s="1459"/>
      <c r="E38" s="83"/>
      <c r="F38" s="1424"/>
      <c r="G38" s="52"/>
      <c r="H38" s="52"/>
      <c r="I38" s="52"/>
    </row>
    <row r="39" spans="1:9" x14ac:dyDescent="0.25">
      <c r="A39" s="1456"/>
      <c r="B39" s="1467"/>
      <c r="C39" s="1440"/>
      <c r="D39" s="1441"/>
      <c r="E39" s="83">
        <v>10557</v>
      </c>
      <c r="F39" s="1424"/>
      <c r="G39" s="52"/>
      <c r="H39" s="52"/>
      <c r="I39" s="52"/>
    </row>
    <row r="40" spans="1:9" ht="3" customHeight="1" x14ac:dyDescent="0.25">
      <c r="A40" s="1456"/>
      <c r="B40" s="1467"/>
      <c r="C40" s="1440"/>
      <c r="D40" s="1441">
        <v>5600</v>
      </c>
      <c r="E40" s="83">
        <v>5600</v>
      </c>
      <c r="F40" s="1424">
        <f>SUM(D39:D40)</f>
        <v>5600</v>
      </c>
      <c r="G40" s="52"/>
      <c r="H40" s="52"/>
      <c r="I40" s="52"/>
    </row>
    <row r="41" spans="1:9" ht="3" customHeight="1" x14ac:dyDescent="0.25">
      <c r="A41" s="1456"/>
      <c r="B41" s="1467"/>
      <c r="C41" s="1440"/>
      <c r="D41" s="1441"/>
      <c r="E41" s="83"/>
      <c r="F41" s="1424"/>
      <c r="G41" s="52"/>
      <c r="H41" s="52"/>
      <c r="I41" s="52"/>
    </row>
    <row r="42" spans="1:9" ht="13.2" hidden="1" thickBot="1" x14ac:dyDescent="0.3">
      <c r="A42" s="1468"/>
      <c r="B42" s="1469"/>
      <c r="C42" s="258"/>
      <c r="D42" s="1441"/>
      <c r="E42" s="83"/>
      <c r="F42" s="1424"/>
      <c r="G42" s="52"/>
      <c r="H42" s="52"/>
      <c r="I42" s="52"/>
    </row>
    <row r="43" spans="1:9" ht="1.5" customHeight="1" thickBot="1" x14ac:dyDescent="0.3">
      <c r="A43" s="83"/>
      <c r="B43" s="83"/>
      <c r="C43" s="83"/>
      <c r="D43" s="1445"/>
      <c r="E43" s="83"/>
      <c r="F43" s="1424"/>
      <c r="G43" s="52"/>
      <c r="H43" s="52"/>
      <c r="I43" s="52"/>
    </row>
    <row r="44" spans="1:9" ht="13.2" thickBot="1" x14ac:dyDescent="0.3">
      <c r="A44" s="1446" t="s">
        <v>102</v>
      </c>
      <c r="B44" s="1447"/>
      <c r="C44" s="1448">
        <f>SUM(C45:C50)</f>
        <v>217933000</v>
      </c>
      <c r="D44" s="1470">
        <f>SUM(D45:D49)</f>
        <v>6224135</v>
      </c>
      <c r="E44" s="83"/>
      <c r="F44" s="1424"/>
      <c r="G44" s="52"/>
      <c r="H44" s="52"/>
      <c r="I44" s="52"/>
    </row>
    <row r="45" spans="1:9" x14ac:dyDescent="0.25">
      <c r="A45" s="1456"/>
      <c r="B45" s="1471" t="s">
        <v>614</v>
      </c>
      <c r="C45" s="1458">
        <f>40*4500000</f>
        <v>180000000</v>
      </c>
      <c r="D45" s="1459">
        <v>9000</v>
      </c>
      <c r="E45" s="83">
        <v>2956</v>
      </c>
      <c r="F45" s="1424"/>
      <c r="G45" s="52"/>
      <c r="H45" s="52"/>
      <c r="I45" s="52"/>
    </row>
    <row r="46" spans="1:9" x14ac:dyDescent="0.25">
      <c r="A46" s="1456"/>
      <c r="B46" s="2474" t="s">
        <v>639</v>
      </c>
      <c r="C46" s="1437">
        <v>1728000</v>
      </c>
      <c r="D46" s="1438"/>
      <c r="E46" s="83"/>
      <c r="F46" s="1424"/>
      <c r="G46" s="52"/>
      <c r="H46" s="52"/>
      <c r="I46" s="52"/>
    </row>
    <row r="47" spans="1:9" ht="23.25" customHeight="1" x14ac:dyDescent="0.25">
      <c r="A47" s="1456"/>
      <c r="B47" s="1461" t="s">
        <v>499</v>
      </c>
      <c r="C47" s="1440">
        <v>20000000</v>
      </c>
      <c r="D47" s="1441">
        <v>10000</v>
      </c>
      <c r="E47" s="83"/>
      <c r="F47" s="1424"/>
      <c r="G47" s="52"/>
      <c r="H47" s="52"/>
      <c r="I47" s="52"/>
    </row>
    <row r="48" spans="1:9" ht="22.5" customHeight="1" x14ac:dyDescent="0.25">
      <c r="A48" s="1472"/>
      <c r="B48" s="1473" t="s">
        <v>518</v>
      </c>
      <c r="C48" s="1450">
        <v>6205000</v>
      </c>
      <c r="D48" s="1463">
        <f>SUM(C48)</f>
        <v>6205000</v>
      </c>
      <c r="E48" s="83"/>
      <c r="F48" s="1424"/>
      <c r="G48" s="52"/>
      <c r="H48" s="52"/>
      <c r="I48" s="52"/>
    </row>
    <row r="49" spans="1:9" ht="22.5" customHeight="1" thickBot="1" x14ac:dyDescent="0.3">
      <c r="A49" s="1472"/>
      <c r="B49" s="1473" t="s">
        <v>500</v>
      </c>
      <c r="C49" s="1449">
        <v>10000000</v>
      </c>
      <c r="D49" s="1445">
        <v>135</v>
      </c>
      <c r="E49" s="83"/>
      <c r="F49" s="1424"/>
      <c r="G49" s="52"/>
      <c r="H49" s="52"/>
      <c r="I49" s="52"/>
    </row>
    <row r="50" spans="1:9" ht="6" customHeight="1" thickBot="1" x14ac:dyDescent="0.3">
      <c r="A50" s="1472"/>
      <c r="B50" s="1465"/>
      <c r="C50" s="226"/>
      <c r="D50" s="1474"/>
      <c r="E50" s="83"/>
      <c r="F50" s="1424"/>
      <c r="G50" s="52"/>
      <c r="H50" s="52"/>
      <c r="I50" s="52"/>
    </row>
    <row r="51" spans="1:9" ht="13.2" thickBot="1" x14ac:dyDescent="0.3">
      <c r="A51" s="1472" t="s">
        <v>302</v>
      </c>
      <c r="B51" s="1475"/>
      <c r="C51" s="1476">
        <f>SUM(C52:C54)</f>
        <v>400000000</v>
      </c>
      <c r="D51" s="1455">
        <f>SUM(D52:D54)</f>
        <v>100276141</v>
      </c>
      <c r="E51" s="83"/>
      <c r="F51" s="1424"/>
      <c r="G51" s="52"/>
      <c r="H51" s="52"/>
      <c r="I51" s="52"/>
    </row>
    <row r="52" spans="1:9" x14ac:dyDescent="0.25">
      <c r="A52" s="1472"/>
      <c r="B52" s="1477" t="s">
        <v>519</v>
      </c>
      <c r="C52" s="1458">
        <f>SUM('5.a.sz. melléklet'!K85)</f>
        <v>300000000</v>
      </c>
      <c r="D52" s="1459">
        <f>SUM('5.a.sz. melléklet'!K86)</f>
        <v>248750</v>
      </c>
      <c r="E52" s="83" t="e">
        <f>SUM('5.a.sz. melléklet'!#REF!)</f>
        <v>#REF!</v>
      </c>
      <c r="F52" s="1424"/>
      <c r="G52" s="52"/>
      <c r="H52" s="52"/>
      <c r="I52" s="52"/>
    </row>
    <row r="53" spans="1:9" x14ac:dyDescent="0.25">
      <c r="A53" s="1472"/>
      <c r="B53" s="1478" t="s">
        <v>393</v>
      </c>
      <c r="C53" s="1440">
        <f>SUM('5.a.sz. melléklet'!J19)</f>
        <v>100000000</v>
      </c>
      <c r="D53" s="1441">
        <f>SUM('5.a.sz. melléklet'!J20)</f>
        <v>100027391</v>
      </c>
      <c r="E53" s="83" t="e">
        <f>SUM('5.a.sz. melléklet'!#REF!)</f>
        <v>#REF!</v>
      </c>
      <c r="F53" s="1424"/>
      <c r="G53" s="52"/>
      <c r="H53" s="52"/>
      <c r="I53" s="52"/>
    </row>
    <row r="54" spans="1:9" ht="13.2" thickBot="1" x14ac:dyDescent="0.3">
      <c r="A54" s="1472"/>
      <c r="B54" s="1479" t="s">
        <v>401</v>
      </c>
      <c r="C54" s="258"/>
      <c r="D54" s="1445">
        <f>SUM('5.a.sz. melléklet'!K8)</f>
        <v>0</v>
      </c>
      <c r="E54" s="83">
        <f>SUM('5.a.sz. melléklet'!K8)</f>
        <v>0</v>
      </c>
      <c r="F54" s="1424">
        <f>SUM(D52:D54)</f>
        <v>100276141</v>
      </c>
      <c r="G54" s="52"/>
      <c r="H54" s="52"/>
      <c r="I54" s="52"/>
    </row>
    <row r="55" spans="1:9" ht="13.2" thickBot="1" x14ac:dyDescent="0.3">
      <c r="A55" s="83"/>
      <c r="B55" s="83"/>
      <c r="C55" s="83"/>
      <c r="D55" s="1421"/>
      <c r="E55" s="83"/>
      <c r="F55" s="1424"/>
      <c r="G55" s="52"/>
      <c r="H55" s="52"/>
      <c r="I55" s="52"/>
    </row>
    <row r="56" spans="1:9" ht="16.2" thickBot="1" x14ac:dyDescent="0.4">
      <c r="A56" s="1480" t="s">
        <v>103</v>
      </c>
      <c r="B56" s="1481"/>
      <c r="C56" s="1481">
        <f>SUM(C51+C44+C38+C23+C14+C7+C5)</f>
        <v>2210527663</v>
      </c>
      <c r="D56" s="1482" t="e">
        <f>SUM(D51+D44+D23+D14+D7+D5)</f>
        <v>#REF!</v>
      </c>
      <c r="E56" s="1483" t="e">
        <f>SUM(E5:E54)</f>
        <v>#REF!</v>
      </c>
      <c r="F56" s="1483"/>
      <c r="G56" s="52"/>
      <c r="H56" s="52"/>
      <c r="I56" s="52"/>
    </row>
    <row r="57" spans="1:9" ht="19.5" customHeight="1" x14ac:dyDescent="0.35">
      <c r="C57" s="52"/>
      <c r="D57" s="52"/>
      <c r="E57" s="1484" t="e">
        <f>SUM(E56/D56)</f>
        <v>#REF!</v>
      </c>
      <c r="F57" s="1485"/>
      <c r="G57" s="52"/>
      <c r="H57" s="52"/>
      <c r="I57" s="52"/>
    </row>
    <row r="58" spans="1:9" x14ac:dyDescent="0.25">
      <c r="C58" s="52"/>
      <c r="D58" s="52"/>
      <c r="E58" s="52"/>
      <c r="F58" s="1485"/>
      <c r="G58" s="52"/>
      <c r="H58" s="52"/>
      <c r="I58" s="52"/>
    </row>
    <row r="59" spans="1:9" x14ac:dyDescent="0.25">
      <c r="C59" s="52"/>
      <c r="D59" s="52"/>
      <c r="E59" s="52"/>
      <c r="F59" s="1485"/>
      <c r="G59" s="52"/>
      <c r="H59" s="52"/>
      <c r="I59" s="52"/>
    </row>
    <row r="60" spans="1:9" x14ac:dyDescent="0.25">
      <c r="C60" s="52"/>
      <c r="D60" s="52"/>
      <c r="E60" s="52"/>
      <c r="F60" s="1485"/>
      <c r="G60" s="52"/>
      <c r="H60" s="52"/>
      <c r="I60" s="52"/>
    </row>
    <row r="61" spans="1:9" x14ac:dyDescent="0.25">
      <c r="C61" s="52"/>
      <c r="D61" s="52"/>
      <c r="E61" s="52"/>
      <c r="F61" s="1485"/>
      <c r="G61" s="52"/>
      <c r="H61" s="52"/>
      <c r="I61" s="52"/>
    </row>
  </sheetData>
  <mergeCells count="1">
    <mergeCell ref="A1:F1"/>
  </mergeCells>
  <phoneticPr fontId="3" type="noConversion"/>
  <pageMargins left="0.75" right="0.75" top="1" bottom="1" header="0.5" footer="0.5"/>
  <pageSetup paperSize="9" scale="89" orientation="portrait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1">
    <pageSetUpPr fitToPage="1"/>
  </sheetPr>
  <dimension ref="A1:BA152"/>
  <sheetViews>
    <sheetView topLeftCell="A33" zoomScaleNormal="100" workbookViewId="0">
      <selection activeCell="A50" sqref="A50:L89"/>
    </sheetView>
  </sheetViews>
  <sheetFormatPr defaultColWidth="9.109375" defaultRowHeight="12.6" x14ac:dyDescent="0.25"/>
  <cols>
    <col min="1" max="1" width="8.109375" style="1606" customWidth="1"/>
    <col min="2" max="2" width="21" style="1487" customWidth="1"/>
    <col min="3" max="3" width="14.109375" style="1487" bestFit="1" customWidth="1"/>
    <col min="4" max="5" width="15.33203125" style="1487" bestFit="1" customWidth="1"/>
    <col min="6" max="6" width="14.109375" style="1487" bestFit="1" customWidth="1"/>
    <col min="7" max="7" width="15.33203125" style="1487" bestFit="1" customWidth="1"/>
    <col min="8" max="8" width="11" style="1487" customWidth="1"/>
    <col min="9" max="9" width="14.6640625" style="1487" customWidth="1"/>
    <col min="10" max="10" width="14.88671875" style="1487" customWidth="1"/>
    <col min="11" max="11" width="15.33203125" style="1487" bestFit="1" customWidth="1"/>
    <col min="12" max="12" width="17" style="1487" customWidth="1"/>
    <col min="13" max="13" width="5.44140625" style="1486" customWidth="1"/>
    <col min="14" max="14" width="14.44140625" style="1487" bestFit="1" customWidth="1"/>
    <col min="15" max="16384" width="9.109375" style="1487"/>
  </cols>
  <sheetData>
    <row r="1" spans="1:53" ht="16.2" thickBot="1" x14ac:dyDescent="0.4">
      <c r="A1" s="2541" t="s">
        <v>555</v>
      </c>
      <c r="B1" s="2542"/>
      <c r="C1" s="2542"/>
      <c r="D1" s="2542"/>
      <c r="E1" s="2542"/>
      <c r="F1" s="2542"/>
      <c r="G1" s="2542"/>
      <c r="H1" s="2542"/>
      <c r="I1" s="2542"/>
      <c r="J1" s="2542"/>
      <c r="K1" s="2542"/>
      <c r="L1" s="2543"/>
    </row>
    <row r="2" spans="1:53" ht="3" customHeight="1" x14ac:dyDescent="0.35">
      <c r="A2" s="1488"/>
      <c r="B2" s="1489"/>
    </row>
    <row r="3" spans="1:53" ht="3" customHeight="1" x14ac:dyDescent="0.25">
      <c r="A3" s="1490"/>
    </row>
    <row r="4" spans="1:53" ht="3" customHeight="1" thickBot="1" x14ac:dyDescent="0.3">
      <c r="A4" s="1491"/>
      <c r="B4" s="1492"/>
    </row>
    <row r="5" spans="1:53" ht="57.75" customHeight="1" thickBot="1" x14ac:dyDescent="0.3">
      <c r="A5" s="1493" t="s">
        <v>215</v>
      </c>
      <c r="B5" s="1494" t="s">
        <v>216</v>
      </c>
      <c r="C5" s="1495" t="s">
        <v>217</v>
      </c>
      <c r="D5" s="1495" t="s">
        <v>218</v>
      </c>
      <c r="E5" s="1495" t="s">
        <v>131</v>
      </c>
      <c r="F5" s="1495" t="s">
        <v>220</v>
      </c>
      <c r="G5" s="1495" t="s">
        <v>221</v>
      </c>
      <c r="H5" s="1495" t="s">
        <v>132</v>
      </c>
      <c r="I5" s="1495" t="s">
        <v>219</v>
      </c>
      <c r="J5" s="1495" t="s">
        <v>389</v>
      </c>
      <c r="K5" s="1496" t="s">
        <v>133</v>
      </c>
      <c r="L5" s="1497" t="s">
        <v>53</v>
      </c>
    </row>
    <row r="6" spans="1:53" ht="15" customHeight="1" x14ac:dyDescent="0.25">
      <c r="A6" s="1498" t="s">
        <v>230</v>
      </c>
      <c r="B6" s="1499" t="s">
        <v>2</v>
      </c>
      <c r="C6" s="1500"/>
      <c r="D6" s="1500"/>
      <c r="E6" s="1500"/>
      <c r="F6" s="1500"/>
      <c r="G6" s="1500"/>
      <c r="H6" s="1500"/>
      <c r="I6" s="1500"/>
      <c r="J6" s="1500"/>
      <c r="K6" s="1501"/>
      <c r="L6" s="1502"/>
    </row>
    <row r="7" spans="1:53" ht="15" customHeight="1" thickBot="1" x14ac:dyDescent="0.3">
      <c r="A7" s="1503"/>
      <c r="B7" s="1504" t="s">
        <v>356</v>
      </c>
      <c r="C7" s="1505">
        <v>4895000</v>
      </c>
      <c r="D7" s="1505"/>
      <c r="E7" s="1505"/>
      <c r="F7" s="1505"/>
      <c r="G7" s="1505">
        <f>'5. sz.melléklet'!C33</f>
        <v>41546575</v>
      </c>
      <c r="H7" s="1505"/>
      <c r="I7" s="1505"/>
      <c r="J7" s="1505"/>
      <c r="K7" s="1506"/>
      <c r="L7" s="1507">
        <f>SUM(C7:K7)</f>
        <v>46441575</v>
      </c>
    </row>
    <row r="8" spans="1:53" s="1511" customFormat="1" ht="0.15" customHeight="1" thickBot="1" x14ac:dyDescent="0.3">
      <c r="A8" s="1503"/>
      <c r="B8" s="1504" t="s">
        <v>357</v>
      </c>
      <c r="C8" s="1508">
        <f>SUM(C7)</f>
        <v>4895000</v>
      </c>
      <c r="D8" s="1508"/>
      <c r="E8" s="1508"/>
      <c r="F8" s="1508"/>
      <c r="G8" s="1508"/>
      <c r="H8" s="1508"/>
      <c r="I8" s="1508"/>
      <c r="J8" s="1508"/>
      <c r="K8" s="1509"/>
      <c r="L8" s="1510">
        <f>SUM(C8:K8)</f>
        <v>4895000</v>
      </c>
      <c r="M8" s="1486"/>
      <c r="N8" s="1487"/>
      <c r="O8" s="1487"/>
      <c r="P8" s="1487"/>
      <c r="Q8" s="1487"/>
      <c r="R8" s="1487"/>
      <c r="S8" s="1487"/>
      <c r="T8" s="1487"/>
      <c r="U8" s="1487"/>
      <c r="V8" s="1487"/>
      <c r="W8" s="1487"/>
      <c r="X8" s="1487"/>
      <c r="Y8" s="1487"/>
      <c r="Z8" s="1487"/>
      <c r="AA8" s="1487"/>
      <c r="AB8" s="1487"/>
      <c r="AC8" s="1487"/>
      <c r="AD8" s="1487"/>
      <c r="AE8" s="1487"/>
      <c r="AF8" s="1487"/>
      <c r="AG8" s="1487"/>
      <c r="AH8" s="1487"/>
      <c r="AI8" s="1487"/>
      <c r="AJ8" s="1487"/>
      <c r="AK8" s="1487"/>
      <c r="AL8" s="1487"/>
      <c r="AM8" s="1487"/>
      <c r="AN8" s="1487"/>
      <c r="AO8" s="1487"/>
      <c r="AP8" s="1487"/>
      <c r="AQ8" s="1487"/>
      <c r="AR8" s="1487"/>
      <c r="AS8" s="1487"/>
      <c r="AT8" s="1487"/>
      <c r="AU8" s="1487"/>
      <c r="AV8" s="1487"/>
      <c r="AW8" s="1487"/>
      <c r="AX8" s="1487"/>
      <c r="AY8" s="1487"/>
      <c r="AZ8" s="1487"/>
      <c r="BA8" s="1487"/>
    </row>
    <row r="9" spans="1:53" s="1517" customFormat="1" ht="0.15" customHeight="1" thickBot="1" x14ac:dyDescent="0.3">
      <c r="A9" s="1512"/>
      <c r="B9" s="1513" t="s">
        <v>355</v>
      </c>
      <c r="C9" s="1514"/>
      <c r="D9" s="1514"/>
      <c r="E9" s="1514"/>
      <c r="F9" s="1514"/>
      <c r="G9" s="1514"/>
      <c r="H9" s="1514"/>
      <c r="I9" s="1514"/>
      <c r="J9" s="1514"/>
      <c r="K9" s="1515"/>
      <c r="L9" s="1516">
        <f>SUM(C9:K9)</f>
        <v>0</v>
      </c>
      <c r="M9" s="1408"/>
      <c r="N9" s="1409"/>
      <c r="O9" s="1409"/>
      <c r="P9" s="1409"/>
      <c r="Q9" s="1409"/>
      <c r="R9" s="1409"/>
      <c r="S9" s="1409"/>
      <c r="T9" s="1409"/>
      <c r="U9" s="1409"/>
      <c r="V9" s="1409"/>
      <c r="W9" s="1409"/>
      <c r="X9" s="1409"/>
      <c r="Y9" s="1409"/>
      <c r="Z9" s="1409"/>
      <c r="AA9" s="1409"/>
      <c r="AB9" s="1409"/>
      <c r="AC9" s="1409"/>
      <c r="AD9" s="1409"/>
      <c r="AE9" s="1409"/>
      <c r="AF9" s="1409"/>
      <c r="AG9" s="1409"/>
      <c r="AH9" s="1409"/>
      <c r="AI9" s="1409"/>
      <c r="AJ9" s="1409"/>
      <c r="AK9" s="1409"/>
      <c r="AL9" s="1409"/>
      <c r="AM9" s="1409"/>
      <c r="AN9" s="1409"/>
      <c r="AO9" s="1409"/>
      <c r="AP9" s="1409"/>
      <c r="AQ9" s="1409"/>
      <c r="AR9" s="1409"/>
      <c r="AS9" s="1409"/>
      <c r="AT9" s="1409"/>
      <c r="AU9" s="1409"/>
      <c r="AV9" s="1409"/>
      <c r="AW9" s="1409"/>
      <c r="AX9" s="1409"/>
      <c r="AY9" s="1409"/>
      <c r="AZ9" s="1409"/>
      <c r="BA9" s="1409"/>
    </row>
    <row r="10" spans="1:53" ht="22.5" customHeight="1" x14ac:dyDescent="0.25">
      <c r="A10" s="1518" t="s">
        <v>241</v>
      </c>
      <c r="B10" s="1519" t="s">
        <v>497</v>
      </c>
      <c r="C10" s="1500"/>
      <c r="D10" s="1500"/>
      <c r="E10" s="1500"/>
      <c r="F10" s="1500"/>
      <c r="G10" s="1500"/>
      <c r="H10" s="1500"/>
      <c r="I10" s="1500"/>
      <c r="J10" s="1500"/>
      <c r="K10" s="1501"/>
      <c r="L10" s="1502"/>
    </row>
    <row r="11" spans="1:53" ht="15" customHeight="1" thickBot="1" x14ac:dyDescent="0.3">
      <c r="A11" s="1520"/>
      <c r="B11" s="1521" t="s">
        <v>356</v>
      </c>
      <c r="C11" s="1505">
        <v>52068000</v>
      </c>
      <c r="D11" s="1505"/>
      <c r="E11" s="1505"/>
      <c r="F11" s="1505"/>
      <c r="G11" s="1505">
        <f>'5. sz.melléklet'!C29+'5. sz.melléklet'!C31+'5. sz.melléklet'!C32+'5. sz.melléklet'!C34+'5. sz.melléklet'!C35</f>
        <v>695419999</v>
      </c>
      <c r="H11" s="1505"/>
      <c r="I11" s="1505">
        <f>'5. sz.melléklet'!C44</f>
        <v>217933000</v>
      </c>
      <c r="J11" s="1505"/>
      <c r="K11" s="1506"/>
      <c r="L11" s="1507">
        <f>SUM(C11:K11)</f>
        <v>965420999</v>
      </c>
    </row>
    <row r="12" spans="1:53" s="1511" customFormat="1" ht="0.15" customHeight="1" thickBot="1" x14ac:dyDescent="0.3">
      <c r="A12" s="1520"/>
      <c r="B12" s="1521" t="s">
        <v>357</v>
      </c>
      <c r="C12" s="1508">
        <f>17277+36</f>
        <v>17313</v>
      </c>
      <c r="D12" s="1508"/>
      <c r="E12" s="1508">
        <v>0</v>
      </c>
      <c r="F12" s="1508">
        <v>1100</v>
      </c>
      <c r="G12" s="1508">
        <f>102+240000-85</f>
        <v>240017</v>
      </c>
      <c r="H12" s="1508"/>
      <c r="I12" s="1508">
        <f>30430+135</f>
        <v>30565</v>
      </c>
      <c r="J12" s="1508"/>
      <c r="K12" s="1509">
        <v>0</v>
      </c>
      <c r="L12" s="1510">
        <f>SUM(C12:K12)</f>
        <v>288995</v>
      </c>
      <c r="M12" s="1486"/>
      <c r="N12" s="1487"/>
      <c r="O12" s="1487"/>
      <c r="P12" s="1487"/>
      <c r="Q12" s="1487"/>
      <c r="R12" s="1487"/>
      <c r="S12" s="1487"/>
      <c r="T12" s="1487"/>
      <c r="U12" s="1487"/>
      <c r="V12" s="1487"/>
      <c r="W12" s="1487"/>
      <c r="X12" s="1487"/>
      <c r="Y12" s="1487"/>
      <c r="Z12" s="1487"/>
      <c r="AA12" s="1487"/>
      <c r="AB12" s="1487"/>
      <c r="AC12" s="1487"/>
      <c r="AD12" s="1487"/>
      <c r="AE12" s="1487"/>
      <c r="AF12" s="1487"/>
      <c r="AG12" s="1487"/>
      <c r="AH12" s="1487"/>
      <c r="AI12" s="1487"/>
      <c r="AJ12" s="1487"/>
      <c r="AK12" s="1487"/>
      <c r="AL12" s="1487"/>
      <c r="AM12" s="1487"/>
      <c r="AN12" s="1487"/>
      <c r="AO12" s="1487"/>
      <c r="AP12" s="1487"/>
      <c r="AQ12" s="1487"/>
      <c r="AR12" s="1487"/>
      <c r="AS12" s="1487"/>
      <c r="AT12" s="1487"/>
      <c r="AU12" s="1487"/>
      <c r="AV12" s="1487"/>
      <c r="AW12" s="1487"/>
      <c r="AX12" s="1487"/>
      <c r="AY12" s="1487"/>
      <c r="AZ12" s="1487"/>
      <c r="BA12" s="1487"/>
    </row>
    <row r="13" spans="1:53" s="1517" customFormat="1" ht="0.15" customHeight="1" thickBot="1" x14ac:dyDescent="0.3">
      <c r="A13" s="1512"/>
      <c r="B13" s="1513" t="s">
        <v>355</v>
      </c>
      <c r="C13" s="1514"/>
      <c r="D13" s="1514"/>
      <c r="E13" s="1514"/>
      <c r="F13" s="1514"/>
      <c r="G13" s="1514"/>
      <c r="H13" s="1514"/>
      <c r="I13" s="1514"/>
      <c r="J13" s="1514"/>
      <c r="K13" s="1515"/>
      <c r="L13" s="1516">
        <f>SUM(C13:K13)</f>
        <v>0</v>
      </c>
      <c r="M13" s="1408"/>
      <c r="N13" s="1409"/>
      <c r="O13" s="1409"/>
      <c r="P13" s="1409"/>
      <c r="Q13" s="1409"/>
      <c r="R13" s="1409"/>
      <c r="S13" s="1409"/>
      <c r="T13" s="1409"/>
      <c r="U13" s="1409"/>
      <c r="V13" s="1409"/>
      <c r="W13" s="1409"/>
      <c r="X13" s="1409"/>
      <c r="Y13" s="1409"/>
      <c r="Z13" s="1409"/>
      <c r="AA13" s="1409"/>
      <c r="AB13" s="1409"/>
      <c r="AC13" s="1409"/>
      <c r="AD13" s="1409"/>
      <c r="AE13" s="1409"/>
      <c r="AF13" s="1409"/>
      <c r="AG13" s="1409"/>
      <c r="AH13" s="1409"/>
      <c r="AI13" s="1409"/>
      <c r="AJ13" s="1409"/>
      <c r="AK13" s="1409"/>
      <c r="AL13" s="1409"/>
      <c r="AM13" s="1409"/>
      <c r="AN13" s="1409"/>
      <c r="AO13" s="1409"/>
      <c r="AP13" s="1409"/>
      <c r="AQ13" s="1409"/>
      <c r="AR13" s="1409"/>
      <c r="AS13" s="1409"/>
      <c r="AT13" s="1409"/>
      <c r="AU13" s="1409"/>
      <c r="AV13" s="1409"/>
      <c r="AW13" s="1409"/>
      <c r="AX13" s="1409"/>
      <c r="AY13" s="1409"/>
      <c r="AZ13" s="1409"/>
      <c r="BA13" s="1409"/>
    </row>
    <row r="14" spans="1:53" ht="21.75" customHeight="1" x14ac:dyDescent="0.25">
      <c r="A14" s="1518" t="s">
        <v>294</v>
      </c>
      <c r="B14" s="1519" t="s">
        <v>295</v>
      </c>
      <c r="C14" s="1500"/>
      <c r="D14" s="1500"/>
      <c r="E14" s="1500"/>
      <c r="F14" s="1500"/>
      <c r="G14" s="1500"/>
      <c r="H14" s="1500"/>
      <c r="I14" s="1500"/>
      <c r="J14" s="1500"/>
      <c r="K14" s="1501"/>
      <c r="L14" s="1502"/>
    </row>
    <row r="15" spans="1:53" ht="15" customHeight="1" thickBot="1" x14ac:dyDescent="0.3">
      <c r="A15" s="1520"/>
      <c r="B15" s="1521" t="s">
        <v>356</v>
      </c>
      <c r="C15" s="1505"/>
      <c r="D15" s="1505"/>
      <c r="E15" s="1505">
        <f>SUM('5.b.sz. melléklet'!D24)</f>
        <v>129565489</v>
      </c>
      <c r="F15" s="1505"/>
      <c r="G15" s="1505"/>
      <c r="H15" s="1505"/>
      <c r="I15" s="1505"/>
      <c r="J15" s="1505"/>
      <c r="K15" s="1506"/>
      <c r="L15" s="1507">
        <f>SUM(C15:K15)</f>
        <v>129565489</v>
      </c>
    </row>
    <row r="16" spans="1:53" s="1511" customFormat="1" ht="0.15" customHeight="1" thickBot="1" x14ac:dyDescent="0.3">
      <c r="A16" s="1520"/>
      <c r="B16" s="1521" t="s">
        <v>357</v>
      </c>
      <c r="C16" s="1508"/>
      <c r="D16" s="1508"/>
      <c r="E16" s="1508">
        <f>113728+452+433-5061+449+193</f>
        <v>110194</v>
      </c>
      <c r="F16" s="1508"/>
      <c r="G16" s="1508"/>
      <c r="H16" s="1508"/>
      <c r="I16" s="1508"/>
      <c r="J16" s="1508"/>
      <c r="K16" s="1509"/>
      <c r="L16" s="1510">
        <f>SUM(C16:K16)</f>
        <v>110194</v>
      </c>
      <c r="M16" s="1486"/>
      <c r="N16" s="1487"/>
      <c r="O16" s="1487"/>
      <c r="P16" s="1487"/>
      <c r="Q16" s="1487"/>
      <c r="R16" s="1487"/>
      <c r="S16" s="1487"/>
      <c r="T16" s="1487"/>
      <c r="U16" s="1487"/>
      <c r="V16" s="1487"/>
      <c r="W16" s="1487"/>
      <c r="X16" s="1487"/>
      <c r="Y16" s="1487"/>
      <c r="Z16" s="1487"/>
      <c r="AA16" s="1487"/>
      <c r="AB16" s="1487"/>
      <c r="AC16" s="1487"/>
      <c r="AD16" s="1487"/>
      <c r="AE16" s="1487"/>
      <c r="AF16" s="1487"/>
      <c r="AG16" s="1487"/>
      <c r="AH16" s="1487"/>
      <c r="AI16" s="1487"/>
      <c r="AJ16" s="1487"/>
      <c r="AK16" s="1487"/>
      <c r="AL16" s="1487"/>
      <c r="AM16" s="1487"/>
      <c r="AN16" s="1487"/>
      <c r="AO16" s="1487"/>
      <c r="AP16" s="1487"/>
      <c r="AQ16" s="1487"/>
      <c r="AR16" s="1487"/>
      <c r="AS16" s="1487"/>
      <c r="AT16" s="1487"/>
      <c r="AU16" s="1487"/>
      <c r="AV16" s="1487"/>
      <c r="AW16" s="1487"/>
      <c r="AX16" s="1487"/>
      <c r="AY16" s="1487"/>
      <c r="AZ16" s="1487"/>
      <c r="BA16" s="1487"/>
    </row>
    <row r="17" spans="1:53" s="1517" customFormat="1" ht="0.15" customHeight="1" thickBot="1" x14ac:dyDescent="0.3">
      <c r="A17" s="1512"/>
      <c r="B17" s="1513" t="s">
        <v>355</v>
      </c>
      <c r="C17" s="1514"/>
      <c r="D17" s="1514"/>
      <c r="E17" s="1514"/>
      <c r="F17" s="1514"/>
      <c r="G17" s="1514"/>
      <c r="H17" s="1514"/>
      <c r="I17" s="1514"/>
      <c r="J17" s="1514"/>
      <c r="K17" s="1515"/>
      <c r="L17" s="1516">
        <f>SUM(C17:K17)</f>
        <v>0</v>
      </c>
      <c r="M17" s="1408"/>
      <c r="N17" s="1409"/>
      <c r="O17" s="1409"/>
      <c r="P17" s="1409"/>
      <c r="Q17" s="1409"/>
      <c r="R17" s="1409"/>
      <c r="S17" s="1409"/>
      <c r="T17" s="1409"/>
      <c r="U17" s="1409"/>
      <c r="V17" s="1409"/>
      <c r="W17" s="1409"/>
      <c r="X17" s="1409"/>
      <c r="Y17" s="1409"/>
      <c r="Z17" s="1409"/>
      <c r="AA17" s="1409"/>
      <c r="AB17" s="1409"/>
      <c r="AC17" s="1409"/>
      <c r="AD17" s="1409"/>
      <c r="AE17" s="1409"/>
      <c r="AF17" s="1409"/>
      <c r="AG17" s="1409"/>
      <c r="AH17" s="1409"/>
      <c r="AI17" s="1409"/>
      <c r="AJ17" s="1409"/>
      <c r="AK17" s="1409"/>
      <c r="AL17" s="1409"/>
      <c r="AM17" s="1409"/>
      <c r="AN17" s="1409"/>
      <c r="AO17" s="1409"/>
      <c r="AP17" s="1409"/>
      <c r="AQ17" s="1409"/>
      <c r="AR17" s="1409"/>
      <c r="AS17" s="1409"/>
      <c r="AT17" s="1409"/>
      <c r="AU17" s="1409"/>
      <c r="AV17" s="1409"/>
      <c r="AW17" s="1409"/>
      <c r="AX17" s="1409"/>
      <c r="AY17" s="1409"/>
      <c r="AZ17" s="1409"/>
      <c r="BA17" s="1409"/>
    </row>
    <row r="18" spans="1:53" ht="15" customHeight="1" x14ac:dyDescent="0.25">
      <c r="A18" s="1522" t="s">
        <v>284</v>
      </c>
      <c r="B18" s="1499" t="s">
        <v>285</v>
      </c>
      <c r="C18" s="1500"/>
      <c r="D18" s="1500"/>
      <c r="E18" s="1500"/>
      <c r="F18" s="1500"/>
      <c r="G18" s="1500"/>
      <c r="H18" s="1500"/>
      <c r="I18" s="1500"/>
      <c r="J18" s="1500"/>
      <c r="K18" s="1501"/>
      <c r="L18" s="1502"/>
    </row>
    <row r="19" spans="1:53" ht="15" customHeight="1" thickBot="1" x14ac:dyDescent="0.3">
      <c r="A19" s="1523"/>
      <c r="B19" s="1521" t="s">
        <v>356</v>
      </c>
      <c r="C19" s="1505"/>
      <c r="D19" s="1505"/>
      <c r="E19" s="1505"/>
      <c r="F19" s="1505"/>
      <c r="G19" s="1505"/>
      <c r="H19" s="1505"/>
      <c r="I19" s="1505"/>
      <c r="J19" s="1505">
        <v>100000000</v>
      </c>
      <c r="K19" s="1506"/>
      <c r="L19" s="1507">
        <f>SUM(C19:K19)</f>
        <v>100000000</v>
      </c>
    </row>
    <row r="20" spans="1:53" s="1511" customFormat="1" ht="0.15" customHeight="1" thickBot="1" x14ac:dyDescent="0.3">
      <c r="A20" s="1523"/>
      <c r="B20" s="1521" t="s">
        <v>357</v>
      </c>
      <c r="C20" s="1508"/>
      <c r="D20" s="1508"/>
      <c r="E20" s="1508"/>
      <c r="F20" s="1508"/>
      <c r="G20" s="1508"/>
      <c r="H20" s="1508"/>
      <c r="I20" s="1508"/>
      <c r="J20" s="1508">
        <f>SUM(J19)+27391</f>
        <v>100027391</v>
      </c>
      <c r="K20" s="1509"/>
      <c r="L20" s="1510">
        <f>SUM(C20:K20)</f>
        <v>100027391</v>
      </c>
      <c r="M20" s="1486"/>
      <c r="N20" s="1487"/>
      <c r="O20" s="1487"/>
      <c r="P20" s="1487"/>
      <c r="Q20" s="1487"/>
      <c r="R20" s="1487"/>
      <c r="S20" s="1487"/>
      <c r="T20" s="1487"/>
      <c r="U20" s="1487"/>
      <c r="V20" s="1487"/>
      <c r="W20" s="1487"/>
      <c r="X20" s="1487"/>
      <c r="Y20" s="1487"/>
      <c r="Z20" s="1487"/>
      <c r="AA20" s="1487"/>
      <c r="AB20" s="1487"/>
      <c r="AC20" s="1487"/>
      <c r="AD20" s="1487"/>
      <c r="AE20" s="1487"/>
      <c r="AF20" s="1487"/>
      <c r="AG20" s="1487"/>
      <c r="AH20" s="1487"/>
      <c r="AI20" s="1487"/>
      <c r="AJ20" s="1487"/>
      <c r="AK20" s="1487"/>
      <c r="AL20" s="1487"/>
      <c r="AM20" s="1487"/>
      <c r="AN20" s="1487"/>
      <c r="AO20" s="1487"/>
      <c r="AP20" s="1487"/>
      <c r="AQ20" s="1487"/>
      <c r="AR20" s="1487"/>
      <c r="AS20" s="1487"/>
      <c r="AT20" s="1487"/>
      <c r="AU20" s="1487"/>
      <c r="AV20" s="1487"/>
      <c r="AW20" s="1487"/>
      <c r="AX20" s="1487"/>
      <c r="AY20" s="1487"/>
      <c r="AZ20" s="1487"/>
      <c r="BA20" s="1487"/>
    </row>
    <row r="21" spans="1:53" s="1517" customFormat="1" ht="0.15" customHeight="1" thickBot="1" x14ac:dyDescent="0.3">
      <c r="A21" s="1524"/>
      <c r="B21" s="1513" t="s">
        <v>355</v>
      </c>
      <c r="C21" s="1514"/>
      <c r="D21" s="1514"/>
      <c r="E21" s="1514"/>
      <c r="F21" s="1514"/>
      <c r="G21" s="1514"/>
      <c r="H21" s="1514"/>
      <c r="I21" s="1514"/>
      <c r="J21" s="1514"/>
      <c r="K21" s="1515"/>
      <c r="L21" s="1516">
        <f>SUM(C21:K21)</f>
        <v>0</v>
      </c>
      <c r="M21" s="1408"/>
      <c r="N21" s="1409"/>
      <c r="O21" s="1409"/>
      <c r="P21" s="1409"/>
      <c r="Q21" s="1409"/>
      <c r="R21" s="1409"/>
      <c r="S21" s="1409"/>
      <c r="T21" s="1409"/>
      <c r="U21" s="1409"/>
      <c r="V21" s="1409"/>
      <c r="W21" s="1409"/>
      <c r="X21" s="1409"/>
      <c r="Y21" s="1409"/>
      <c r="Z21" s="1409"/>
      <c r="AA21" s="1409"/>
      <c r="AB21" s="1409"/>
      <c r="AC21" s="1409"/>
      <c r="AD21" s="1409"/>
      <c r="AE21" s="1409"/>
      <c r="AF21" s="1409"/>
      <c r="AG21" s="1409"/>
      <c r="AH21" s="1409"/>
      <c r="AI21" s="1409"/>
      <c r="AJ21" s="1409"/>
      <c r="AK21" s="1409"/>
      <c r="AL21" s="1409"/>
      <c r="AM21" s="1409"/>
      <c r="AN21" s="1409"/>
      <c r="AO21" s="1409"/>
      <c r="AP21" s="1409"/>
      <c r="AQ21" s="1409"/>
      <c r="AR21" s="1409"/>
      <c r="AS21" s="1409"/>
      <c r="AT21" s="1409"/>
      <c r="AU21" s="1409"/>
      <c r="AV21" s="1409"/>
      <c r="AW21" s="1409"/>
      <c r="AX21" s="1409"/>
      <c r="AY21" s="1409"/>
      <c r="AZ21" s="1409"/>
      <c r="BA21" s="1409"/>
    </row>
    <row r="22" spans="1:53" ht="27.75" customHeight="1" x14ac:dyDescent="0.25">
      <c r="A22" s="1522" t="s">
        <v>243</v>
      </c>
      <c r="B22" s="1519" t="s">
        <v>422</v>
      </c>
      <c r="C22" s="1500"/>
      <c r="D22" s="1500"/>
      <c r="E22" s="1500"/>
      <c r="F22" s="1500"/>
      <c r="G22" s="1500"/>
      <c r="H22" s="1500"/>
      <c r="I22" s="1500"/>
      <c r="J22" s="1500"/>
      <c r="K22" s="1501"/>
      <c r="L22" s="1502"/>
    </row>
    <row r="23" spans="1:53" ht="15" customHeight="1" thickBot="1" x14ac:dyDescent="0.3">
      <c r="A23" s="1523"/>
      <c r="B23" s="1521" t="s">
        <v>356</v>
      </c>
      <c r="C23" s="1505"/>
      <c r="D23" s="1505"/>
      <c r="E23" s="1505"/>
      <c r="F23" s="1505">
        <f>'5. sz.melléklet'!C28</f>
        <v>1364000</v>
      </c>
      <c r="G23" s="1505"/>
      <c r="H23" s="1505"/>
      <c r="I23" s="1505"/>
      <c r="J23" s="1505"/>
      <c r="K23" s="1506"/>
      <c r="L23" s="1507">
        <f>SUM(C23:K23)</f>
        <v>1364000</v>
      </c>
    </row>
    <row r="24" spans="1:53" s="1511" customFormat="1" ht="0.15" customHeight="1" thickBot="1" x14ac:dyDescent="0.3">
      <c r="A24" s="1525"/>
      <c r="B24" s="1526" t="s">
        <v>357</v>
      </c>
      <c r="C24" s="1527"/>
      <c r="D24" s="1527"/>
      <c r="E24" s="1527"/>
      <c r="F24" s="1527">
        <f>SUM(F23)+8086</f>
        <v>1372086</v>
      </c>
      <c r="G24" s="1527"/>
      <c r="H24" s="1527"/>
      <c r="I24" s="1527"/>
      <c r="J24" s="1527"/>
      <c r="K24" s="1528"/>
      <c r="L24" s="1529">
        <f>SUM(F24:K24)</f>
        <v>1372086</v>
      </c>
      <c r="M24" s="1486"/>
      <c r="N24" s="1487"/>
      <c r="O24" s="1487"/>
      <c r="P24" s="1487"/>
      <c r="Q24" s="1487"/>
      <c r="R24" s="1487"/>
      <c r="S24" s="1487"/>
      <c r="T24" s="1487"/>
      <c r="U24" s="1487"/>
      <c r="V24" s="1487"/>
      <c r="W24" s="1487"/>
      <c r="X24" s="1487"/>
      <c r="Y24" s="1487"/>
      <c r="Z24" s="1487"/>
      <c r="AA24" s="1487"/>
      <c r="AB24" s="1487"/>
      <c r="AC24" s="1487"/>
      <c r="AD24" s="1487"/>
      <c r="AE24" s="1487"/>
      <c r="AF24" s="1487"/>
      <c r="AG24" s="1487"/>
      <c r="AH24" s="1487"/>
      <c r="AI24" s="1487"/>
      <c r="AJ24" s="1487"/>
      <c r="AK24" s="1487"/>
      <c r="AL24" s="1487"/>
      <c r="AM24" s="1487"/>
      <c r="AN24" s="1487"/>
      <c r="AO24" s="1487"/>
      <c r="AP24" s="1487"/>
      <c r="AQ24" s="1487"/>
      <c r="AR24" s="1487"/>
      <c r="AS24" s="1487"/>
      <c r="AT24" s="1487"/>
      <c r="AU24" s="1487"/>
      <c r="AV24" s="1487"/>
      <c r="AW24" s="1487"/>
      <c r="AX24" s="1487"/>
      <c r="AY24" s="1487"/>
      <c r="AZ24" s="1487"/>
      <c r="BA24" s="1487"/>
    </row>
    <row r="25" spans="1:53" s="1517" customFormat="1" ht="0.15" customHeight="1" thickBot="1" x14ac:dyDescent="0.3">
      <c r="A25" s="1524"/>
      <c r="B25" s="1513" t="s">
        <v>355</v>
      </c>
      <c r="C25" s="1514"/>
      <c r="D25" s="1514"/>
      <c r="E25" s="1514"/>
      <c r="F25" s="1514"/>
      <c r="G25" s="1514"/>
      <c r="H25" s="1514"/>
      <c r="I25" s="1514"/>
      <c r="J25" s="1514"/>
      <c r="K25" s="1515"/>
      <c r="L25" s="1516">
        <f>SUM(F25:K25)</f>
        <v>0</v>
      </c>
      <c r="M25" s="1408"/>
      <c r="N25" s="1409"/>
      <c r="O25" s="1409"/>
      <c r="P25" s="1409"/>
      <c r="Q25" s="1409"/>
      <c r="R25" s="1409"/>
      <c r="S25" s="1409"/>
      <c r="T25" s="1409"/>
      <c r="U25" s="1409"/>
      <c r="V25" s="1409"/>
      <c r="W25" s="1409"/>
      <c r="X25" s="1409"/>
      <c r="Y25" s="1409"/>
      <c r="Z25" s="1409"/>
      <c r="AA25" s="1409"/>
      <c r="AB25" s="1409"/>
      <c r="AC25" s="1409"/>
      <c r="AD25" s="1409"/>
      <c r="AE25" s="1409"/>
      <c r="AF25" s="1409"/>
      <c r="AG25" s="1409"/>
      <c r="AH25" s="1409"/>
      <c r="AI25" s="1409"/>
      <c r="AJ25" s="1409"/>
      <c r="AK25" s="1409"/>
      <c r="AL25" s="1409"/>
      <c r="AM25" s="1409"/>
      <c r="AN25" s="1409"/>
      <c r="AO25" s="1409"/>
      <c r="AP25" s="1409"/>
      <c r="AQ25" s="1409"/>
      <c r="AR25" s="1409"/>
      <c r="AS25" s="1409"/>
      <c r="AT25" s="1409"/>
      <c r="AU25" s="1409"/>
      <c r="AV25" s="1409"/>
      <c r="AW25" s="1409"/>
      <c r="AX25" s="1409"/>
      <c r="AY25" s="1409"/>
      <c r="AZ25" s="1409"/>
      <c r="BA25" s="1409"/>
    </row>
    <row r="26" spans="1:53" ht="14.25" customHeight="1" x14ac:dyDescent="0.25">
      <c r="A26" s="1518" t="s">
        <v>251</v>
      </c>
      <c r="B26" s="1519" t="s">
        <v>252</v>
      </c>
      <c r="C26" s="1500"/>
      <c r="D26" s="1500"/>
      <c r="E26" s="1500"/>
      <c r="F26" s="1500"/>
      <c r="G26" s="1500"/>
      <c r="H26" s="1500"/>
      <c r="I26" s="1500"/>
      <c r="J26" s="1500"/>
      <c r="K26" s="1501"/>
      <c r="L26" s="1502"/>
    </row>
    <row r="27" spans="1:53" ht="15" customHeight="1" thickBot="1" x14ac:dyDescent="0.3">
      <c r="A27" s="1520"/>
      <c r="B27" s="1521" t="s">
        <v>356</v>
      </c>
      <c r="C27" s="1505"/>
      <c r="D27" s="1505">
        <v>5043000</v>
      </c>
      <c r="E27" s="1505"/>
      <c r="F27" s="1505">
        <v>7320000</v>
      </c>
      <c r="G27" s="1505"/>
      <c r="H27" s="1505"/>
      <c r="I27" s="1505"/>
      <c r="J27" s="1505"/>
      <c r="K27" s="1506"/>
      <c r="L27" s="1507">
        <f>SUM(C27:K27)</f>
        <v>12363000</v>
      </c>
    </row>
    <row r="28" spans="1:53" s="1511" customFormat="1" ht="0.15" customHeight="1" thickBot="1" x14ac:dyDescent="0.3">
      <c r="A28" s="1530"/>
      <c r="B28" s="1526" t="s">
        <v>357</v>
      </c>
      <c r="C28" s="1527"/>
      <c r="D28" s="1527">
        <v>4662</v>
      </c>
      <c r="E28" s="1527"/>
      <c r="F28" s="1527">
        <v>7320</v>
      </c>
      <c r="G28" s="1527"/>
      <c r="H28" s="1527"/>
      <c r="I28" s="1527"/>
      <c r="J28" s="1527"/>
      <c r="K28" s="1528"/>
      <c r="L28" s="1529">
        <f>SUM(C28:K28)</f>
        <v>11982</v>
      </c>
      <c r="M28" s="1486"/>
      <c r="N28" s="1487"/>
      <c r="O28" s="1487"/>
      <c r="P28" s="1487"/>
      <c r="Q28" s="1487"/>
      <c r="R28" s="1487"/>
      <c r="S28" s="1487"/>
      <c r="T28" s="1487"/>
      <c r="U28" s="1487"/>
      <c r="V28" s="1487"/>
      <c r="W28" s="1487"/>
      <c r="X28" s="1487"/>
      <c r="Y28" s="1487"/>
      <c r="Z28" s="1487"/>
      <c r="AA28" s="1487"/>
      <c r="AB28" s="1487"/>
      <c r="AC28" s="1487"/>
      <c r="AD28" s="1487"/>
      <c r="AE28" s="1487"/>
      <c r="AF28" s="1487"/>
      <c r="AG28" s="1487"/>
      <c r="AH28" s="1487"/>
      <c r="AI28" s="1487"/>
      <c r="AJ28" s="1487"/>
      <c r="AK28" s="1487"/>
      <c r="AL28" s="1487"/>
      <c r="AM28" s="1487"/>
      <c r="AN28" s="1487"/>
      <c r="AO28" s="1487"/>
      <c r="AP28" s="1487"/>
      <c r="AQ28" s="1487"/>
      <c r="AR28" s="1487"/>
      <c r="AS28" s="1487"/>
      <c r="AT28" s="1487"/>
      <c r="AU28" s="1487"/>
      <c r="AV28" s="1487"/>
      <c r="AW28" s="1487"/>
      <c r="AX28" s="1487"/>
      <c r="AY28" s="1487"/>
      <c r="AZ28" s="1487"/>
      <c r="BA28" s="1487"/>
    </row>
    <row r="29" spans="1:53" s="1517" customFormat="1" ht="0.15" customHeight="1" thickBot="1" x14ac:dyDescent="0.3">
      <c r="A29" s="1512"/>
      <c r="B29" s="1513" t="s">
        <v>355</v>
      </c>
      <c r="C29" s="1514"/>
      <c r="D29" s="1514"/>
      <c r="E29" s="1514"/>
      <c r="F29" s="1514"/>
      <c r="G29" s="1514"/>
      <c r="H29" s="1514"/>
      <c r="I29" s="1514"/>
      <c r="J29" s="1514"/>
      <c r="K29" s="1515"/>
      <c r="L29" s="1516">
        <f>SUM(C29:K29)</f>
        <v>0</v>
      </c>
      <c r="M29" s="1408"/>
      <c r="N29" s="1409"/>
      <c r="O29" s="1409"/>
      <c r="P29" s="1409"/>
      <c r="Q29" s="1409"/>
      <c r="R29" s="1409"/>
      <c r="S29" s="1409"/>
      <c r="T29" s="1409"/>
      <c r="U29" s="1409"/>
      <c r="V29" s="1409"/>
      <c r="W29" s="1409"/>
      <c r="X29" s="1409"/>
      <c r="Y29" s="1409"/>
      <c r="Z29" s="1409"/>
      <c r="AA29" s="1409"/>
      <c r="AB29" s="1409"/>
      <c r="AC29" s="1409"/>
      <c r="AD29" s="1409"/>
      <c r="AE29" s="1409"/>
      <c r="AF29" s="1409"/>
      <c r="AG29" s="1409"/>
      <c r="AH29" s="1409"/>
      <c r="AI29" s="1409"/>
      <c r="AJ29" s="1409"/>
      <c r="AK29" s="1409"/>
      <c r="AL29" s="1409"/>
      <c r="AM29" s="1409"/>
      <c r="AN29" s="1409"/>
      <c r="AO29" s="1409"/>
      <c r="AP29" s="1409"/>
      <c r="AQ29" s="1409"/>
      <c r="AR29" s="1409"/>
      <c r="AS29" s="1409"/>
      <c r="AT29" s="1409"/>
      <c r="AU29" s="1409"/>
      <c r="AV29" s="1409"/>
      <c r="AW29" s="1409"/>
      <c r="AX29" s="1409"/>
      <c r="AY29" s="1409"/>
      <c r="AZ29" s="1409"/>
      <c r="BA29" s="1409"/>
    </row>
    <row r="30" spans="1:53" s="1409" customFormat="1" ht="24" customHeight="1" x14ac:dyDescent="0.25">
      <c r="A30" s="1403" t="s">
        <v>274</v>
      </c>
      <c r="B30" s="1404" t="s">
        <v>523</v>
      </c>
      <c r="C30" s="1405"/>
      <c r="D30" s="1405"/>
      <c r="E30" s="1405"/>
      <c r="F30" s="1405"/>
      <c r="G30" s="1405"/>
      <c r="H30" s="1405"/>
      <c r="I30" s="1405"/>
      <c r="J30" s="1405"/>
      <c r="K30" s="1406"/>
      <c r="L30" s="1407"/>
      <c r="M30" s="1408"/>
    </row>
    <row r="31" spans="1:53" s="1409" customFormat="1" ht="15" customHeight="1" thickBot="1" x14ac:dyDescent="0.3">
      <c r="A31" s="1410"/>
      <c r="B31" s="1411" t="s">
        <v>356</v>
      </c>
      <c r="C31" s="1412">
        <v>2134000</v>
      </c>
      <c r="D31" s="1412"/>
      <c r="E31" s="1412"/>
      <c r="F31" s="1412"/>
      <c r="G31" s="1412"/>
      <c r="H31" s="1412"/>
      <c r="I31" s="1412"/>
      <c r="J31" s="1412"/>
      <c r="K31" s="1413"/>
      <c r="L31" s="1414">
        <f>SUM(C31:K31)</f>
        <v>2134000</v>
      </c>
      <c r="M31" s="1408"/>
    </row>
    <row r="32" spans="1:53" ht="15" customHeight="1" x14ac:dyDescent="0.25">
      <c r="A32" s="1518" t="s">
        <v>306</v>
      </c>
      <c r="B32" s="1519" t="s">
        <v>307</v>
      </c>
      <c r="C32" s="1500"/>
      <c r="D32" s="1500"/>
      <c r="E32" s="1500"/>
      <c r="F32" s="1500"/>
      <c r="G32" s="1500"/>
      <c r="H32" s="1500"/>
      <c r="I32" s="1500"/>
      <c r="J32" s="1500"/>
      <c r="K32" s="1501"/>
      <c r="L32" s="1502"/>
    </row>
    <row r="33" spans="1:53" ht="15" customHeight="1" thickBot="1" x14ac:dyDescent="0.3">
      <c r="A33" s="1520"/>
      <c r="B33" s="1521" t="s">
        <v>356</v>
      </c>
      <c r="C33" s="1505">
        <v>1300000</v>
      </c>
      <c r="D33" s="1505"/>
      <c r="E33" s="1505"/>
      <c r="F33" s="1505"/>
      <c r="G33" s="1505"/>
      <c r="H33" s="1505"/>
      <c r="I33" s="1505"/>
      <c r="J33" s="1505"/>
      <c r="K33" s="1506"/>
      <c r="L33" s="1507">
        <f>SUM(C33:K33)</f>
        <v>1300000</v>
      </c>
    </row>
    <row r="34" spans="1:53" s="1511" customFormat="1" ht="0.15" customHeight="1" thickBot="1" x14ac:dyDescent="0.3">
      <c r="A34" s="1530"/>
      <c r="B34" s="1526" t="s">
        <v>357</v>
      </c>
      <c r="C34" s="1531">
        <f>SUM(C33)</f>
        <v>1300000</v>
      </c>
      <c r="D34" s="1531"/>
      <c r="E34" s="1531"/>
      <c r="F34" s="1531"/>
      <c r="G34" s="1531"/>
      <c r="H34" s="1531"/>
      <c r="I34" s="1531"/>
      <c r="J34" s="1531"/>
      <c r="K34" s="1532"/>
      <c r="L34" s="1529">
        <f>SUM(C34:K34)</f>
        <v>1300000</v>
      </c>
      <c r="M34" s="1486"/>
      <c r="N34" s="1487"/>
      <c r="O34" s="1487"/>
      <c r="P34" s="1487"/>
      <c r="Q34" s="1487"/>
      <c r="R34" s="1487"/>
      <c r="S34" s="1487"/>
      <c r="T34" s="1487"/>
      <c r="U34" s="1487"/>
      <c r="V34" s="1487"/>
      <c r="W34" s="1487"/>
      <c r="X34" s="1487"/>
      <c r="Y34" s="1487"/>
      <c r="Z34" s="1487"/>
      <c r="AA34" s="1487"/>
      <c r="AB34" s="1487"/>
      <c r="AC34" s="1487"/>
      <c r="AD34" s="1487"/>
      <c r="AE34" s="1487"/>
      <c r="AF34" s="1487"/>
      <c r="AG34" s="1487"/>
      <c r="AH34" s="1487"/>
      <c r="AI34" s="1487"/>
      <c r="AJ34" s="1487"/>
      <c r="AK34" s="1487"/>
      <c r="AL34" s="1487"/>
      <c r="AM34" s="1487"/>
      <c r="AN34" s="1487"/>
      <c r="AO34" s="1487"/>
      <c r="AP34" s="1487"/>
      <c r="AQ34" s="1487"/>
      <c r="AR34" s="1487"/>
      <c r="AS34" s="1487"/>
      <c r="AT34" s="1487"/>
      <c r="AU34" s="1487"/>
      <c r="AV34" s="1487"/>
      <c r="AW34" s="1487"/>
      <c r="AX34" s="1487"/>
      <c r="AY34" s="1487"/>
      <c r="AZ34" s="1487"/>
      <c r="BA34" s="1487"/>
    </row>
    <row r="35" spans="1:53" s="1517" customFormat="1" ht="0.15" customHeight="1" thickBot="1" x14ac:dyDescent="0.3">
      <c r="A35" s="1512"/>
      <c r="B35" s="1513" t="s">
        <v>355</v>
      </c>
      <c r="C35" s="1514"/>
      <c r="D35" s="1514"/>
      <c r="E35" s="1514"/>
      <c r="F35" s="1514"/>
      <c r="G35" s="1514"/>
      <c r="H35" s="1514"/>
      <c r="I35" s="1514"/>
      <c r="J35" s="1514"/>
      <c r="K35" s="1515"/>
      <c r="L35" s="1516">
        <f>SUM(C35:K35)</f>
        <v>0</v>
      </c>
      <c r="M35" s="1408"/>
      <c r="N35" s="1409"/>
      <c r="O35" s="1409"/>
      <c r="P35" s="1409"/>
      <c r="Q35" s="1409"/>
      <c r="R35" s="1409"/>
      <c r="S35" s="1409"/>
      <c r="T35" s="1409"/>
      <c r="U35" s="1409"/>
      <c r="V35" s="1409"/>
      <c r="W35" s="1409"/>
      <c r="X35" s="1409"/>
      <c r="Y35" s="1409"/>
      <c r="Z35" s="1409"/>
      <c r="AA35" s="1409"/>
      <c r="AB35" s="1409"/>
      <c r="AC35" s="1409"/>
      <c r="AD35" s="1409"/>
      <c r="AE35" s="1409"/>
      <c r="AF35" s="1409"/>
      <c r="AG35" s="1409"/>
      <c r="AH35" s="1409"/>
      <c r="AI35" s="1409"/>
      <c r="AJ35" s="1409"/>
      <c r="AK35" s="1409"/>
      <c r="AL35" s="1409"/>
      <c r="AM35" s="1409"/>
      <c r="AN35" s="1409"/>
      <c r="AO35" s="1409"/>
      <c r="AP35" s="1409"/>
      <c r="AQ35" s="1409"/>
      <c r="AR35" s="1409"/>
      <c r="AS35" s="1409"/>
      <c r="AT35" s="1409"/>
      <c r="AU35" s="1409"/>
      <c r="AV35" s="1409"/>
      <c r="AW35" s="1409"/>
      <c r="AX35" s="1409"/>
      <c r="AY35" s="1409"/>
      <c r="AZ35" s="1409"/>
      <c r="BA35" s="1409"/>
    </row>
    <row r="36" spans="1:53" ht="15" customHeight="1" x14ac:dyDescent="0.25">
      <c r="A36" s="1518" t="s">
        <v>255</v>
      </c>
      <c r="B36" s="1519" t="s">
        <v>161</v>
      </c>
      <c r="C36" s="1533"/>
      <c r="D36" s="1534"/>
      <c r="E36" s="1534"/>
      <c r="F36" s="1534"/>
      <c r="G36" s="1534"/>
      <c r="H36" s="1534"/>
      <c r="I36" s="1534"/>
      <c r="J36" s="1534"/>
      <c r="K36" s="1535"/>
      <c r="L36" s="1502"/>
    </row>
    <row r="37" spans="1:53" ht="15" customHeight="1" thickBot="1" x14ac:dyDescent="0.3">
      <c r="A37" s="1520"/>
      <c r="B37" s="1521" t="s">
        <v>356</v>
      </c>
      <c r="C37" s="1536">
        <v>8351000</v>
      </c>
      <c r="D37" s="1537"/>
      <c r="E37" s="1537"/>
      <c r="F37" s="1537"/>
      <c r="G37" s="1537"/>
      <c r="H37" s="1537"/>
      <c r="I37" s="1537"/>
      <c r="J37" s="1537"/>
      <c r="K37" s="1538"/>
      <c r="L37" s="1507">
        <f>SUM(C37:K37)</f>
        <v>8351000</v>
      </c>
    </row>
    <row r="38" spans="1:53" s="1511" customFormat="1" ht="0.15" customHeight="1" thickBot="1" x14ac:dyDescent="0.3">
      <c r="A38" s="1530"/>
      <c r="B38" s="1526" t="s">
        <v>357</v>
      </c>
      <c r="C38" s="1539">
        <f>SUM(C37)</f>
        <v>8351000</v>
      </c>
      <c r="D38" s="1540"/>
      <c r="E38" s="1540"/>
      <c r="F38" s="1540"/>
      <c r="G38" s="1540"/>
      <c r="H38" s="1540"/>
      <c r="I38" s="1540"/>
      <c r="J38" s="1540"/>
      <c r="K38" s="1541"/>
      <c r="L38" s="1529">
        <f>SUM(C38:K38)</f>
        <v>8351000</v>
      </c>
      <c r="M38" s="1486"/>
      <c r="N38" s="1487"/>
      <c r="O38" s="1487"/>
      <c r="P38" s="1487"/>
      <c r="Q38" s="1487"/>
      <c r="R38" s="1487"/>
      <c r="S38" s="1487"/>
      <c r="T38" s="1487"/>
      <c r="U38" s="1487"/>
      <c r="V38" s="1487"/>
      <c r="W38" s="1487"/>
      <c r="X38" s="1487"/>
      <c r="Y38" s="1487"/>
      <c r="Z38" s="1487"/>
      <c r="AA38" s="1487"/>
      <c r="AB38" s="1487"/>
      <c r="AC38" s="1487"/>
      <c r="AD38" s="1487"/>
      <c r="AE38" s="1487"/>
      <c r="AF38" s="1487"/>
      <c r="AG38" s="1487"/>
      <c r="AH38" s="1487"/>
      <c r="AI38" s="1487"/>
      <c r="AJ38" s="1487"/>
      <c r="AK38" s="1487"/>
      <c r="AL38" s="1487"/>
      <c r="AM38" s="1487"/>
      <c r="AN38" s="1487"/>
      <c r="AO38" s="1487"/>
      <c r="AP38" s="1487"/>
      <c r="AQ38" s="1487"/>
      <c r="AR38" s="1487"/>
      <c r="AS38" s="1487"/>
      <c r="AT38" s="1487"/>
      <c r="AU38" s="1487"/>
      <c r="AV38" s="1487"/>
      <c r="AW38" s="1487"/>
      <c r="AX38" s="1487"/>
      <c r="AY38" s="1487"/>
      <c r="AZ38" s="1487"/>
      <c r="BA38" s="1487"/>
    </row>
    <row r="39" spans="1:53" s="1517" customFormat="1" ht="0.15" customHeight="1" thickBot="1" x14ac:dyDescent="0.3">
      <c r="A39" s="1512"/>
      <c r="B39" s="1513" t="s">
        <v>355</v>
      </c>
      <c r="C39" s="1542"/>
      <c r="D39" s="1543"/>
      <c r="E39" s="1543"/>
      <c r="F39" s="1543"/>
      <c r="G39" s="1544"/>
      <c r="H39" s="1544"/>
      <c r="I39" s="1543"/>
      <c r="J39" s="1543"/>
      <c r="K39" s="1545"/>
      <c r="L39" s="1516">
        <f>SUM(C39:K39)</f>
        <v>0</v>
      </c>
      <c r="M39" s="1408"/>
      <c r="N39" s="1409"/>
      <c r="O39" s="1409"/>
      <c r="P39" s="1409"/>
      <c r="Q39" s="1409"/>
      <c r="R39" s="1409"/>
      <c r="S39" s="1409"/>
      <c r="T39" s="1409"/>
      <c r="U39" s="1409"/>
      <c r="V39" s="1409"/>
      <c r="W39" s="1409"/>
      <c r="X39" s="1409"/>
      <c r="Y39" s="1409"/>
      <c r="Z39" s="1409"/>
      <c r="AA39" s="1409"/>
      <c r="AB39" s="1409"/>
      <c r="AC39" s="1409"/>
      <c r="AD39" s="1409"/>
      <c r="AE39" s="1409"/>
      <c r="AF39" s="1409"/>
      <c r="AG39" s="1409"/>
      <c r="AH39" s="1409"/>
      <c r="AI39" s="1409"/>
      <c r="AJ39" s="1409"/>
      <c r="AK39" s="1409"/>
      <c r="AL39" s="1409"/>
      <c r="AM39" s="1409"/>
      <c r="AN39" s="1409"/>
      <c r="AO39" s="1409"/>
      <c r="AP39" s="1409"/>
      <c r="AQ39" s="1409"/>
      <c r="AR39" s="1409"/>
      <c r="AS39" s="1409"/>
      <c r="AT39" s="1409"/>
      <c r="AU39" s="1409"/>
      <c r="AV39" s="1409"/>
      <c r="AW39" s="1409"/>
      <c r="AX39" s="1409"/>
      <c r="AY39" s="1409"/>
      <c r="AZ39" s="1409"/>
      <c r="BA39" s="1409"/>
    </row>
    <row r="40" spans="1:53" ht="26.25" customHeight="1" x14ac:dyDescent="0.25">
      <c r="A40" s="1518" t="s">
        <v>256</v>
      </c>
      <c r="B40" s="1519" t="s">
        <v>282</v>
      </c>
      <c r="C40" s="1546"/>
      <c r="D40" s="1534"/>
      <c r="E40" s="1534"/>
      <c r="F40" s="1534"/>
      <c r="G40" s="1534"/>
      <c r="H40" s="1534"/>
      <c r="I40" s="1534"/>
      <c r="J40" s="1534"/>
      <c r="K40" s="1535"/>
      <c r="L40" s="1502"/>
    </row>
    <row r="41" spans="1:53" ht="15" customHeight="1" thickBot="1" x14ac:dyDescent="0.3">
      <c r="A41" s="1520"/>
      <c r="B41" s="1521" t="s">
        <v>356</v>
      </c>
      <c r="C41" s="1536">
        <v>8460000</v>
      </c>
      <c r="D41" s="1537"/>
      <c r="E41" s="1537"/>
      <c r="F41" s="1537"/>
      <c r="G41" s="1537"/>
      <c r="H41" s="1537"/>
      <c r="I41" s="1537"/>
      <c r="J41" s="1537"/>
      <c r="K41" s="1538"/>
      <c r="L41" s="1507">
        <f>SUM(C41:K41)</f>
        <v>8460000</v>
      </c>
    </row>
    <row r="42" spans="1:53" s="1511" customFormat="1" ht="0.15" customHeight="1" thickBot="1" x14ac:dyDescent="0.3">
      <c r="A42" s="1530"/>
      <c r="B42" s="1526" t="s">
        <v>357</v>
      </c>
      <c r="C42" s="1539">
        <f>SUM(C41)</f>
        <v>8460000</v>
      </c>
      <c r="D42" s="1540"/>
      <c r="E42" s="1540"/>
      <c r="F42" s="1540"/>
      <c r="G42" s="1540"/>
      <c r="H42" s="1547"/>
      <c r="I42" s="1540"/>
      <c r="J42" s="1540"/>
      <c r="K42" s="1541"/>
      <c r="L42" s="1529">
        <f>SUM(C42:K42)</f>
        <v>8460000</v>
      </c>
      <c r="M42" s="1486"/>
      <c r="N42" s="1487"/>
      <c r="O42" s="1487"/>
      <c r="P42" s="1487"/>
      <c r="Q42" s="1487"/>
      <c r="R42" s="1487"/>
      <c r="S42" s="1487"/>
      <c r="T42" s="1487"/>
      <c r="U42" s="1487"/>
      <c r="V42" s="1487"/>
      <c r="W42" s="1487"/>
      <c r="X42" s="1487"/>
      <c r="Y42" s="1487"/>
      <c r="Z42" s="1487"/>
      <c r="AA42" s="1487"/>
      <c r="AB42" s="1487"/>
      <c r="AC42" s="1487"/>
      <c r="AD42" s="1487"/>
      <c r="AE42" s="1487"/>
      <c r="AF42" s="1487"/>
      <c r="AG42" s="1487"/>
      <c r="AH42" s="1487"/>
      <c r="AI42" s="1487"/>
      <c r="AJ42" s="1487"/>
      <c r="AK42" s="1487"/>
      <c r="AL42" s="1487"/>
      <c r="AM42" s="1487"/>
      <c r="AN42" s="1487"/>
      <c r="AO42" s="1487"/>
      <c r="AP42" s="1487"/>
      <c r="AQ42" s="1487"/>
      <c r="AR42" s="1487"/>
      <c r="AS42" s="1487"/>
      <c r="AT42" s="1487"/>
      <c r="AU42" s="1487"/>
      <c r="AV42" s="1487"/>
      <c r="AW42" s="1487"/>
      <c r="AX42" s="1487"/>
      <c r="AY42" s="1487"/>
      <c r="AZ42" s="1487"/>
      <c r="BA42" s="1487"/>
    </row>
    <row r="43" spans="1:53" s="1517" customFormat="1" ht="0.15" customHeight="1" thickBot="1" x14ac:dyDescent="0.3">
      <c r="A43" s="1512"/>
      <c r="B43" s="1513" t="s">
        <v>355</v>
      </c>
      <c r="C43" s="1544"/>
      <c r="D43" s="1543"/>
      <c r="E43" s="1543"/>
      <c r="F43" s="1543"/>
      <c r="G43" s="1543"/>
      <c r="H43" s="1543"/>
      <c r="I43" s="1543"/>
      <c r="J43" s="1543"/>
      <c r="K43" s="1545"/>
      <c r="L43" s="1516">
        <f>SUM(C43:K43)</f>
        <v>0</v>
      </c>
      <c r="M43" s="1408"/>
      <c r="N43" s="1409"/>
      <c r="O43" s="1409"/>
      <c r="P43" s="1409"/>
      <c r="Q43" s="1409"/>
      <c r="R43" s="1409"/>
      <c r="S43" s="1409"/>
      <c r="T43" s="1409"/>
      <c r="U43" s="1409"/>
      <c r="V43" s="1409"/>
      <c r="W43" s="1409"/>
      <c r="X43" s="1409"/>
      <c r="Y43" s="1409"/>
      <c r="Z43" s="1409"/>
      <c r="AA43" s="1409"/>
      <c r="AB43" s="1409"/>
      <c r="AC43" s="1409"/>
      <c r="AD43" s="1409"/>
      <c r="AE43" s="1409"/>
      <c r="AF43" s="1409"/>
      <c r="AG43" s="1409"/>
      <c r="AH43" s="1409"/>
      <c r="AI43" s="1409"/>
      <c r="AJ43" s="1409"/>
      <c r="AK43" s="1409"/>
      <c r="AL43" s="1409"/>
      <c r="AM43" s="1409"/>
      <c r="AN43" s="1409"/>
      <c r="AO43" s="1409"/>
      <c r="AP43" s="1409"/>
      <c r="AQ43" s="1409"/>
      <c r="AR43" s="1409"/>
      <c r="AS43" s="1409"/>
      <c r="AT43" s="1409"/>
      <c r="AU43" s="1409"/>
      <c r="AV43" s="1409"/>
      <c r="AW43" s="1409"/>
      <c r="AX43" s="1409"/>
      <c r="AY43" s="1409"/>
      <c r="AZ43" s="1409"/>
      <c r="BA43" s="1409"/>
    </row>
    <row r="44" spans="1:53" s="1511" customFormat="1" ht="0.15" customHeight="1" thickBot="1" x14ac:dyDescent="0.3">
      <c r="A44" s="1520"/>
      <c r="B44" s="1521" t="s">
        <v>357</v>
      </c>
      <c r="C44" s="1505"/>
      <c r="D44" s="1505"/>
      <c r="E44" s="1505"/>
      <c r="F44" s="1505"/>
      <c r="G44" s="1505"/>
      <c r="H44" s="1505"/>
      <c r="I44" s="1505"/>
      <c r="J44" s="1505"/>
      <c r="K44" s="1506"/>
      <c r="L44" s="1548">
        <f>SUM(C44:K44)</f>
        <v>0</v>
      </c>
      <c r="M44" s="1486"/>
      <c r="N44" s="1487"/>
      <c r="O44" s="1487"/>
      <c r="P44" s="1487"/>
      <c r="Q44" s="1487"/>
      <c r="R44" s="1487"/>
      <c r="S44" s="1487"/>
      <c r="T44" s="1487"/>
      <c r="U44" s="1487"/>
      <c r="V44" s="1487"/>
      <c r="W44" s="1487"/>
      <c r="X44" s="1487"/>
      <c r="Y44" s="1487"/>
      <c r="Z44" s="1487"/>
      <c r="AA44" s="1487"/>
      <c r="AB44" s="1487"/>
      <c r="AC44" s="1487"/>
      <c r="AD44" s="1487"/>
      <c r="AE44" s="1487"/>
      <c r="AF44" s="1487"/>
      <c r="AG44" s="1487"/>
      <c r="AH44" s="1487"/>
      <c r="AI44" s="1487"/>
      <c r="AJ44" s="1487"/>
      <c r="AK44" s="1487"/>
      <c r="AL44" s="1487"/>
      <c r="AM44" s="1487"/>
      <c r="AN44" s="1487"/>
      <c r="AO44" s="1487"/>
      <c r="AP44" s="1487"/>
      <c r="AQ44" s="1487"/>
      <c r="AR44" s="1487"/>
      <c r="AS44" s="1487"/>
      <c r="AT44" s="1487"/>
      <c r="AU44" s="1487"/>
      <c r="AV44" s="1487"/>
      <c r="AW44" s="1487"/>
      <c r="AX44" s="1487"/>
      <c r="AY44" s="1487"/>
      <c r="AZ44" s="1487"/>
      <c r="BA44" s="1487"/>
    </row>
    <row r="45" spans="1:53" s="1517" customFormat="1" ht="0.15" customHeight="1" thickBot="1" x14ac:dyDescent="0.3">
      <c r="A45" s="1512"/>
      <c r="B45" s="1513" t="s">
        <v>355</v>
      </c>
      <c r="C45" s="1514"/>
      <c r="D45" s="1514"/>
      <c r="E45" s="1514"/>
      <c r="F45" s="1514"/>
      <c r="G45" s="1514"/>
      <c r="H45" s="1514"/>
      <c r="I45" s="1514"/>
      <c r="J45" s="1514"/>
      <c r="K45" s="1515"/>
      <c r="L45" s="1516">
        <f>SUM(C45:K45)</f>
        <v>0</v>
      </c>
      <c r="M45" s="1408"/>
      <c r="N45" s="1409"/>
      <c r="O45" s="1409"/>
      <c r="P45" s="1409"/>
      <c r="Q45" s="1409"/>
      <c r="R45" s="1409"/>
      <c r="S45" s="1409"/>
      <c r="T45" s="1409"/>
      <c r="U45" s="1409"/>
      <c r="V45" s="1409"/>
      <c r="W45" s="1409"/>
      <c r="X45" s="1409"/>
      <c r="Y45" s="1409"/>
      <c r="Z45" s="1409"/>
      <c r="AA45" s="1409"/>
      <c r="AB45" s="1409"/>
      <c r="AC45" s="1409"/>
      <c r="AD45" s="1409"/>
      <c r="AE45" s="1409"/>
      <c r="AF45" s="1409"/>
      <c r="AG45" s="1409"/>
      <c r="AH45" s="1409"/>
      <c r="AI45" s="1409"/>
      <c r="AJ45" s="1409"/>
      <c r="AK45" s="1409"/>
      <c r="AL45" s="1409"/>
      <c r="AM45" s="1409"/>
      <c r="AN45" s="1409"/>
      <c r="AO45" s="1409"/>
      <c r="AP45" s="1409"/>
      <c r="AQ45" s="1409"/>
      <c r="AR45" s="1409"/>
      <c r="AS45" s="1409"/>
      <c r="AT45" s="1409"/>
      <c r="AU45" s="1409"/>
      <c r="AV45" s="1409"/>
      <c r="AW45" s="1409"/>
      <c r="AX45" s="1409"/>
      <c r="AY45" s="1409"/>
      <c r="AZ45" s="1409"/>
      <c r="BA45" s="1409"/>
    </row>
    <row r="46" spans="1:53" ht="15" customHeight="1" x14ac:dyDescent="0.25">
      <c r="A46" s="1518" t="s">
        <v>258</v>
      </c>
      <c r="B46" s="1519" t="s">
        <v>259</v>
      </c>
      <c r="C46" s="1500"/>
      <c r="D46" s="1500"/>
      <c r="E46" s="1500"/>
      <c r="F46" s="1500"/>
      <c r="G46" s="1500"/>
      <c r="H46" s="1500"/>
      <c r="I46" s="1500"/>
      <c r="J46" s="1500"/>
      <c r="K46" s="1501"/>
      <c r="L46" s="1502"/>
    </row>
    <row r="47" spans="1:53" ht="15" customHeight="1" thickBot="1" x14ac:dyDescent="0.3">
      <c r="A47" s="1520"/>
      <c r="B47" s="1521" t="s">
        <v>356</v>
      </c>
      <c r="C47" s="1505">
        <v>1016000</v>
      </c>
      <c r="D47" s="1505"/>
      <c r="E47" s="1505"/>
      <c r="F47" s="1505"/>
      <c r="G47" s="1505"/>
      <c r="H47" s="1505"/>
      <c r="I47" s="1505"/>
      <c r="J47" s="1505"/>
      <c r="K47" s="1506"/>
      <c r="L47" s="1507">
        <f>SUM(C47:K47)</f>
        <v>1016000</v>
      </c>
    </row>
    <row r="48" spans="1:53" s="1511" customFormat="1" ht="0.15" customHeight="1" thickBot="1" x14ac:dyDescent="0.3">
      <c r="A48" s="1530"/>
      <c r="B48" s="1526" t="s">
        <v>357</v>
      </c>
      <c r="C48" s="1531"/>
      <c r="D48" s="1531"/>
      <c r="E48" s="1531"/>
      <c r="F48" s="1531"/>
      <c r="G48" s="1531"/>
      <c r="H48" s="1531"/>
      <c r="I48" s="1531"/>
      <c r="J48" s="1531"/>
      <c r="K48" s="1532"/>
      <c r="L48" s="1529">
        <f>SUM(C48:K48)</f>
        <v>0</v>
      </c>
      <c r="M48" s="1486"/>
      <c r="N48" s="1487"/>
      <c r="O48" s="1487"/>
      <c r="P48" s="1487"/>
      <c r="Q48" s="1487"/>
      <c r="R48" s="1487"/>
      <c r="S48" s="1487"/>
      <c r="T48" s="1487"/>
      <c r="U48" s="1487"/>
      <c r="V48" s="1487"/>
      <c r="W48" s="1487"/>
      <c r="X48" s="1487"/>
      <c r="Y48" s="1487"/>
      <c r="Z48" s="1487"/>
      <c r="AA48" s="1487"/>
      <c r="AB48" s="1487"/>
      <c r="AC48" s="1487"/>
      <c r="AD48" s="1487"/>
      <c r="AE48" s="1487"/>
      <c r="AF48" s="1487"/>
      <c r="AG48" s="1487"/>
      <c r="AH48" s="1487"/>
      <c r="AI48" s="1487"/>
      <c r="AJ48" s="1487"/>
      <c r="AK48" s="1487"/>
      <c r="AL48" s="1487"/>
      <c r="AM48" s="1487"/>
      <c r="AN48" s="1487"/>
      <c r="AO48" s="1487"/>
      <c r="AP48" s="1487"/>
      <c r="AQ48" s="1487"/>
      <c r="AR48" s="1487"/>
      <c r="AS48" s="1487"/>
      <c r="AT48" s="1487"/>
      <c r="AU48" s="1487"/>
      <c r="AV48" s="1487"/>
      <c r="AW48" s="1487"/>
      <c r="AX48" s="1487"/>
      <c r="AY48" s="1487"/>
      <c r="AZ48" s="1487"/>
      <c r="BA48" s="1487"/>
    </row>
    <row r="49" spans="1:53" s="1517" customFormat="1" ht="0.15" customHeight="1" thickBot="1" x14ac:dyDescent="0.3">
      <c r="A49" s="1512"/>
      <c r="B49" s="1513" t="s">
        <v>355</v>
      </c>
      <c r="C49" s="1514"/>
      <c r="D49" s="1514"/>
      <c r="E49" s="1514"/>
      <c r="F49" s="1514"/>
      <c r="G49" s="1514"/>
      <c r="H49" s="1514"/>
      <c r="I49" s="1514"/>
      <c r="J49" s="1514"/>
      <c r="K49" s="1515"/>
      <c r="L49" s="1516">
        <f>SUM(C49:K49)</f>
        <v>0</v>
      </c>
      <c r="M49" s="1408"/>
      <c r="N49" s="1409"/>
      <c r="O49" s="1409"/>
      <c r="P49" s="1409"/>
      <c r="Q49" s="1409"/>
      <c r="R49" s="1409"/>
      <c r="S49" s="1409"/>
      <c r="T49" s="1409"/>
      <c r="U49" s="1409"/>
      <c r="V49" s="1409"/>
      <c r="W49" s="1409"/>
      <c r="X49" s="1409"/>
      <c r="Y49" s="1409"/>
      <c r="Z49" s="1409"/>
      <c r="AA49" s="1409"/>
      <c r="AB49" s="1409"/>
      <c r="AC49" s="1409"/>
      <c r="AD49" s="1409"/>
      <c r="AE49" s="1409"/>
      <c r="AF49" s="1409"/>
      <c r="AG49" s="1409"/>
      <c r="AH49" s="1409"/>
      <c r="AI49" s="1409"/>
      <c r="AJ49" s="1409"/>
      <c r="AK49" s="1409"/>
      <c r="AL49" s="1409"/>
      <c r="AM49" s="1409"/>
      <c r="AN49" s="1409"/>
      <c r="AO49" s="1409"/>
      <c r="AP49" s="1409"/>
      <c r="AQ49" s="1409"/>
      <c r="AR49" s="1409"/>
      <c r="AS49" s="1409"/>
      <c r="AT49" s="1409"/>
      <c r="AU49" s="1409"/>
      <c r="AV49" s="1409"/>
      <c r="AW49" s="1409"/>
      <c r="AX49" s="1409"/>
      <c r="AY49" s="1409"/>
      <c r="AZ49" s="1409"/>
      <c r="BA49" s="1409"/>
    </row>
    <row r="50" spans="1:53" ht="15" customHeight="1" x14ac:dyDescent="0.25">
      <c r="A50" s="1518" t="s">
        <v>260</v>
      </c>
      <c r="B50" s="1519" t="s">
        <v>110</v>
      </c>
      <c r="C50" s="1500"/>
      <c r="D50" s="1500"/>
      <c r="E50" s="1500"/>
      <c r="F50" s="1500"/>
      <c r="G50" s="1500"/>
      <c r="H50" s="1500"/>
      <c r="I50" s="1500"/>
      <c r="J50" s="1500"/>
      <c r="K50" s="1501"/>
      <c r="L50" s="1502"/>
    </row>
    <row r="51" spans="1:53" ht="15" customHeight="1" thickBot="1" x14ac:dyDescent="0.3">
      <c r="A51" s="1520"/>
      <c r="B51" s="1521" t="s">
        <v>356</v>
      </c>
      <c r="C51" s="1505">
        <v>762000</v>
      </c>
      <c r="D51" s="1505"/>
      <c r="E51" s="1505"/>
      <c r="F51" s="1505"/>
      <c r="G51" s="1505"/>
      <c r="H51" s="1505"/>
      <c r="I51" s="1505"/>
      <c r="J51" s="1505"/>
      <c r="K51" s="1506"/>
      <c r="L51" s="1507">
        <f>SUM(C51:K51)</f>
        <v>762000</v>
      </c>
    </row>
    <row r="52" spans="1:53" s="1511" customFormat="1" ht="0.15" customHeight="1" thickBot="1" x14ac:dyDescent="0.3">
      <c r="A52" s="1530"/>
      <c r="B52" s="1526" t="s">
        <v>357</v>
      </c>
      <c r="C52" s="1531">
        <f>SUM(C51)</f>
        <v>762000</v>
      </c>
      <c r="D52" s="1531"/>
      <c r="E52" s="1531"/>
      <c r="F52" s="1531"/>
      <c r="G52" s="1531"/>
      <c r="H52" s="1531"/>
      <c r="I52" s="1531"/>
      <c r="J52" s="1531"/>
      <c r="K52" s="1532"/>
      <c r="L52" s="1529">
        <f>SUM(C52:K52)</f>
        <v>762000</v>
      </c>
      <c r="M52" s="1486"/>
      <c r="N52" s="1487"/>
      <c r="O52" s="1487"/>
      <c r="P52" s="1487"/>
      <c r="Q52" s="1487"/>
      <c r="R52" s="1487"/>
      <c r="S52" s="1487"/>
      <c r="T52" s="1487"/>
      <c r="U52" s="1487"/>
      <c r="V52" s="1487"/>
      <c r="W52" s="1487"/>
      <c r="X52" s="1487"/>
      <c r="Y52" s="1487"/>
      <c r="Z52" s="1487"/>
      <c r="AA52" s="1487"/>
      <c r="AB52" s="1487"/>
      <c r="AC52" s="1487"/>
      <c r="AD52" s="1487"/>
      <c r="AE52" s="1487"/>
      <c r="AF52" s="1487"/>
      <c r="AG52" s="1487"/>
      <c r="AH52" s="1487"/>
      <c r="AI52" s="1487"/>
      <c r="AJ52" s="1487"/>
      <c r="AK52" s="1487"/>
      <c r="AL52" s="1487"/>
      <c r="AM52" s="1487"/>
      <c r="AN52" s="1487"/>
      <c r="AO52" s="1487"/>
      <c r="AP52" s="1487"/>
      <c r="AQ52" s="1487"/>
      <c r="AR52" s="1487"/>
      <c r="AS52" s="1487"/>
      <c r="AT52" s="1487"/>
      <c r="AU52" s="1487"/>
      <c r="AV52" s="1487"/>
      <c r="AW52" s="1487"/>
      <c r="AX52" s="1487"/>
      <c r="AY52" s="1487"/>
      <c r="AZ52" s="1487"/>
      <c r="BA52" s="1487"/>
    </row>
    <row r="53" spans="1:53" s="1517" customFormat="1" ht="0.15" customHeight="1" thickBot="1" x14ac:dyDescent="0.3">
      <c r="A53" s="1512"/>
      <c r="B53" s="1513" t="s">
        <v>355</v>
      </c>
      <c r="C53" s="1514"/>
      <c r="D53" s="1514"/>
      <c r="E53" s="1514"/>
      <c r="F53" s="1514"/>
      <c r="G53" s="1514"/>
      <c r="H53" s="1514"/>
      <c r="I53" s="1514"/>
      <c r="J53" s="1514"/>
      <c r="K53" s="1515"/>
      <c r="L53" s="1516">
        <f>SUM(C53:K53)</f>
        <v>0</v>
      </c>
      <c r="M53" s="1408"/>
      <c r="N53" s="1409"/>
      <c r="O53" s="1409"/>
      <c r="P53" s="1409"/>
      <c r="Q53" s="1409"/>
      <c r="R53" s="1409"/>
      <c r="S53" s="1409"/>
      <c r="T53" s="1409"/>
      <c r="U53" s="1409"/>
      <c r="V53" s="1409"/>
      <c r="W53" s="1409"/>
      <c r="X53" s="1409"/>
      <c r="Y53" s="1409"/>
      <c r="Z53" s="1409"/>
      <c r="AA53" s="1409"/>
      <c r="AB53" s="1409"/>
      <c r="AC53" s="1409"/>
      <c r="AD53" s="1409"/>
      <c r="AE53" s="1409"/>
      <c r="AF53" s="1409"/>
      <c r="AG53" s="1409"/>
      <c r="AH53" s="1409"/>
      <c r="AI53" s="1409"/>
      <c r="AJ53" s="1409"/>
      <c r="AK53" s="1409"/>
      <c r="AL53" s="1409"/>
      <c r="AM53" s="1409"/>
      <c r="AN53" s="1409"/>
      <c r="AO53" s="1409"/>
      <c r="AP53" s="1409"/>
      <c r="AQ53" s="1409"/>
      <c r="AR53" s="1409"/>
      <c r="AS53" s="1409"/>
      <c r="AT53" s="1409"/>
      <c r="AU53" s="1409"/>
      <c r="AV53" s="1409"/>
      <c r="AW53" s="1409"/>
      <c r="AX53" s="1409"/>
      <c r="AY53" s="1409"/>
      <c r="AZ53" s="1409"/>
      <c r="BA53" s="1409"/>
    </row>
    <row r="54" spans="1:53" ht="23.25" customHeight="1" x14ac:dyDescent="0.25">
      <c r="A54" s="1518" t="s">
        <v>261</v>
      </c>
      <c r="B54" s="1519" t="s">
        <v>163</v>
      </c>
      <c r="C54" s="1500"/>
      <c r="D54" s="1500"/>
      <c r="E54" s="1500"/>
      <c r="F54" s="1500"/>
      <c r="G54" s="1500"/>
      <c r="H54" s="1500"/>
      <c r="I54" s="1500"/>
      <c r="J54" s="1500"/>
      <c r="K54" s="1501"/>
      <c r="L54" s="1502"/>
    </row>
    <row r="55" spans="1:53" ht="15" customHeight="1" thickBot="1" x14ac:dyDescent="0.3">
      <c r="A55" s="1520"/>
      <c r="B55" s="1521" t="s">
        <v>356</v>
      </c>
      <c r="C55" s="1505"/>
      <c r="D55" s="1505"/>
      <c r="E55" s="1505"/>
      <c r="F55" s="1505">
        <v>11007600</v>
      </c>
      <c r="G55" s="1505"/>
      <c r="H55" s="1505"/>
      <c r="I55" s="1505"/>
      <c r="J55" s="1505"/>
      <c r="K55" s="1506"/>
      <c r="L55" s="1507">
        <f>SUM(C55:K55)</f>
        <v>11007600</v>
      </c>
    </row>
    <row r="56" spans="1:53" s="1511" customFormat="1" ht="0.15" customHeight="1" thickBot="1" x14ac:dyDescent="0.3">
      <c r="A56" s="1530"/>
      <c r="B56" s="1526" t="s">
        <v>357</v>
      </c>
      <c r="C56" s="1531"/>
      <c r="D56" s="1531"/>
      <c r="E56" s="1531"/>
      <c r="F56" s="1531">
        <f>SUM(F55)</f>
        <v>11007600</v>
      </c>
      <c r="G56" s="1531"/>
      <c r="H56" s="1531"/>
      <c r="I56" s="1531"/>
      <c r="J56" s="1531"/>
      <c r="K56" s="1532"/>
      <c r="L56" s="1529">
        <f>SUM(C56:K56)</f>
        <v>11007600</v>
      </c>
      <c r="M56" s="1486"/>
      <c r="N56" s="1487"/>
      <c r="O56" s="1487"/>
      <c r="P56" s="1487"/>
      <c r="Q56" s="1487"/>
      <c r="R56" s="1487"/>
      <c r="S56" s="1487"/>
      <c r="T56" s="1487"/>
      <c r="U56" s="1487"/>
      <c r="V56" s="1487"/>
      <c r="W56" s="1487"/>
      <c r="X56" s="1487"/>
      <c r="Y56" s="1487"/>
      <c r="Z56" s="1487"/>
      <c r="AA56" s="1487"/>
      <c r="AB56" s="1487"/>
      <c r="AC56" s="1487"/>
      <c r="AD56" s="1487"/>
      <c r="AE56" s="1487"/>
      <c r="AF56" s="1487"/>
      <c r="AG56" s="1487"/>
      <c r="AH56" s="1487"/>
      <c r="AI56" s="1487"/>
      <c r="AJ56" s="1487"/>
      <c r="AK56" s="1487"/>
      <c r="AL56" s="1487"/>
      <c r="AM56" s="1487"/>
      <c r="AN56" s="1487"/>
      <c r="AO56" s="1487"/>
      <c r="AP56" s="1487"/>
      <c r="AQ56" s="1487"/>
      <c r="AR56" s="1487"/>
      <c r="AS56" s="1487"/>
      <c r="AT56" s="1487"/>
      <c r="AU56" s="1487"/>
      <c r="AV56" s="1487"/>
      <c r="AW56" s="1487"/>
      <c r="AX56" s="1487"/>
      <c r="AY56" s="1487"/>
      <c r="AZ56" s="1487"/>
      <c r="BA56" s="1487"/>
    </row>
    <row r="57" spans="1:53" s="1517" customFormat="1" ht="0.15" customHeight="1" thickBot="1" x14ac:dyDescent="0.3">
      <c r="A57" s="1512"/>
      <c r="B57" s="1513" t="s">
        <v>355</v>
      </c>
      <c r="C57" s="1514"/>
      <c r="D57" s="1514"/>
      <c r="E57" s="1514"/>
      <c r="F57" s="1514"/>
      <c r="G57" s="1514"/>
      <c r="H57" s="1514"/>
      <c r="I57" s="1514"/>
      <c r="J57" s="1514"/>
      <c r="K57" s="1515"/>
      <c r="L57" s="1516">
        <f>SUM(C57:K57)</f>
        <v>0</v>
      </c>
      <c r="M57" s="1408"/>
      <c r="N57" s="1409"/>
      <c r="O57" s="1409"/>
      <c r="P57" s="1409"/>
      <c r="Q57" s="1409"/>
      <c r="R57" s="1409"/>
      <c r="S57" s="1409"/>
      <c r="T57" s="1409"/>
      <c r="U57" s="1409"/>
      <c r="V57" s="1409"/>
      <c r="W57" s="1409"/>
      <c r="X57" s="1409"/>
      <c r="Y57" s="1409"/>
      <c r="Z57" s="1409"/>
      <c r="AA57" s="1409"/>
      <c r="AB57" s="1409"/>
      <c r="AC57" s="1409"/>
      <c r="AD57" s="1409"/>
      <c r="AE57" s="1409"/>
      <c r="AF57" s="1409"/>
      <c r="AG57" s="1409"/>
      <c r="AH57" s="1409"/>
      <c r="AI57" s="1409"/>
      <c r="AJ57" s="1409"/>
      <c r="AK57" s="1409"/>
      <c r="AL57" s="1409"/>
      <c r="AM57" s="1409"/>
      <c r="AN57" s="1409"/>
      <c r="AO57" s="1409"/>
      <c r="AP57" s="1409"/>
      <c r="AQ57" s="1409"/>
      <c r="AR57" s="1409"/>
      <c r="AS57" s="1409"/>
      <c r="AT57" s="1409"/>
      <c r="AU57" s="1409"/>
      <c r="AV57" s="1409"/>
      <c r="AW57" s="1409"/>
      <c r="AX57" s="1409"/>
      <c r="AY57" s="1409"/>
      <c r="AZ57" s="1409"/>
      <c r="BA57" s="1409"/>
    </row>
    <row r="58" spans="1:53" ht="26.25" customHeight="1" x14ac:dyDescent="0.25">
      <c r="A58" s="1518" t="s">
        <v>262</v>
      </c>
      <c r="B58" s="1519" t="s">
        <v>308</v>
      </c>
      <c r="C58" s="1500"/>
      <c r="D58" s="1500"/>
      <c r="E58" s="1500"/>
      <c r="F58" s="1500"/>
      <c r="G58" s="1500"/>
      <c r="H58" s="1500"/>
      <c r="I58" s="1500"/>
      <c r="J58" s="1500"/>
      <c r="K58" s="1501"/>
      <c r="L58" s="1502"/>
    </row>
    <row r="59" spans="1:53" ht="15" customHeight="1" thickBot="1" x14ac:dyDescent="0.3">
      <c r="A59" s="1520"/>
      <c r="B59" s="1521" t="s">
        <v>356</v>
      </c>
      <c r="C59" s="1505"/>
      <c r="D59" s="1505"/>
      <c r="E59" s="1505"/>
      <c r="F59" s="1505">
        <v>330000</v>
      </c>
      <c r="G59" s="1505"/>
      <c r="H59" s="1505"/>
      <c r="I59" s="1505"/>
      <c r="J59" s="1505"/>
      <c r="K59" s="1506"/>
      <c r="L59" s="1507">
        <f>SUM(C59:K59)</f>
        <v>330000</v>
      </c>
    </row>
    <row r="60" spans="1:53" s="1511" customFormat="1" ht="0.15" customHeight="1" thickBot="1" x14ac:dyDescent="0.3">
      <c r="A60" s="1530"/>
      <c r="B60" s="1526" t="s">
        <v>357</v>
      </c>
      <c r="C60" s="1531"/>
      <c r="D60" s="1531"/>
      <c r="E60" s="1531"/>
      <c r="F60" s="1531">
        <f>SUM(F59)</f>
        <v>330000</v>
      </c>
      <c r="G60" s="1531"/>
      <c r="H60" s="1531"/>
      <c r="I60" s="1531"/>
      <c r="J60" s="1531"/>
      <c r="K60" s="1532"/>
      <c r="L60" s="1529">
        <f>SUM(C60:K60)</f>
        <v>330000</v>
      </c>
      <c r="M60" s="1486"/>
      <c r="N60" s="1487"/>
      <c r="O60" s="1487"/>
      <c r="P60" s="1487"/>
      <c r="Q60" s="1487"/>
      <c r="R60" s="1487"/>
      <c r="S60" s="1487"/>
      <c r="T60" s="1487"/>
      <c r="U60" s="1487"/>
      <c r="V60" s="1487"/>
      <c r="W60" s="1487"/>
      <c r="X60" s="1487"/>
      <c r="Y60" s="1487"/>
      <c r="Z60" s="1487"/>
      <c r="AA60" s="1487"/>
      <c r="AB60" s="1487"/>
      <c r="AC60" s="1487"/>
      <c r="AD60" s="1487"/>
      <c r="AE60" s="1487"/>
      <c r="AF60" s="1487"/>
      <c r="AG60" s="1487"/>
      <c r="AH60" s="1487"/>
      <c r="AI60" s="1487"/>
      <c r="AJ60" s="1487"/>
      <c r="AK60" s="1487"/>
      <c r="AL60" s="1487"/>
      <c r="AM60" s="1487"/>
      <c r="AN60" s="1487"/>
      <c r="AO60" s="1487"/>
      <c r="AP60" s="1487"/>
      <c r="AQ60" s="1487"/>
      <c r="AR60" s="1487"/>
      <c r="AS60" s="1487"/>
      <c r="AT60" s="1487"/>
      <c r="AU60" s="1487"/>
      <c r="AV60" s="1487"/>
      <c r="AW60" s="1487"/>
      <c r="AX60" s="1487"/>
      <c r="AY60" s="1487"/>
      <c r="AZ60" s="1487"/>
      <c r="BA60" s="1487"/>
    </row>
    <row r="61" spans="1:53" s="1517" customFormat="1" ht="0.15" customHeight="1" thickBot="1" x14ac:dyDescent="0.3">
      <c r="A61" s="1512"/>
      <c r="B61" s="1513" t="s">
        <v>355</v>
      </c>
      <c r="C61" s="1514"/>
      <c r="D61" s="1514"/>
      <c r="E61" s="1514"/>
      <c r="F61" s="1514"/>
      <c r="G61" s="1514"/>
      <c r="H61" s="1514"/>
      <c r="I61" s="1514"/>
      <c r="J61" s="1514"/>
      <c r="K61" s="1515"/>
      <c r="L61" s="1516">
        <f>SUM(C61:K61)</f>
        <v>0</v>
      </c>
      <c r="M61" s="1408"/>
      <c r="N61" s="1409"/>
      <c r="O61" s="1409"/>
      <c r="P61" s="1409"/>
      <c r="Q61" s="1409"/>
      <c r="R61" s="1409"/>
      <c r="S61" s="1409"/>
      <c r="T61" s="1409"/>
      <c r="U61" s="1409"/>
      <c r="V61" s="1409"/>
      <c r="W61" s="1409"/>
      <c r="X61" s="1409"/>
      <c r="Y61" s="1409"/>
      <c r="Z61" s="1409"/>
      <c r="AA61" s="1409"/>
      <c r="AB61" s="1409"/>
      <c r="AC61" s="1409"/>
      <c r="AD61" s="1409"/>
      <c r="AE61" s="1409"/>
      <c r="AF61" s="1409"/>
      <c r="AG61" s="1409"/>
      <c r="AH61" s="1409"/>
      <c r="AI61" s="1409"/>
      <c r="AJ61" s="1409"/>
      <c r="AK61" s="1409"/>
      <c r="AL61" s="1409"/>
      <c r="AM61" s="1409"/>
      <c r="AN61" s="1409"/>
      <c r="AO61" s="1409"/>
      <c r="AP61" s="1409"/>
      <c r="AQ61" s="1409"/>
      <c r="AR61" s="1409"/>
      <c r="AS61" s="1409"/>
      <c r="AT61" s="1409"/>
      <c r="AU61" s="1409"/>
      <c r="AV61" s="1409"/>
      <c r="AW61" s="1409"/>
      <c r="AX61" s="1409"/>
      <c r="AY61" s="1409"/>
      <c r="AZ61" s="1409"/>
      <c r="BA61" s="1409"/>
    </row>
    <row r="62" spans="1:53" ht="15" customHeight="1" x14ac:dyDescent="0.25">
      <c r="A62" s="1518" t="s">
        <v>265</v>
      </c>
      <c r="B62" s="1519" t="s">
        <v>266</v>
      </c>
      <c r="C62" s="1500"/>
      <c r="D62" s="1500"/>
      <c r="E62" s="1500"/>
      <c r="F62" s="1500"/>
      <c r="G62" s="1500"/>
      <c r="H62" s="1500"/>
      <c r="I62" s="1500"/>
      <c r="J62" s="1500"/>
      <c r="K62" s="1501"/>
      <c r="L62" s="1502"/>
    </row>
    <row r="63" spans="1:53" ht="15" customHeight="1" thickBot="1" x14ac:dyDescent="0.3">
      <c r="A63" s="1520"/>
      <c r="B63" s="1521" t="s">
        <v>356</v>
      </c>
      <c r="C63" s="1505">
        <v>508000</v>
      </c>
      <c r="D63" s="1505"/>
      <c r="E63" s="1505"/>
      <c r="F63" s="1505"/>
      <c r="G63" s="1505"/>
      <c r="H63" s="1505"/>
      <c r="I63" s="1505"/>
      <c r="J63" s="1505"/>
      <c r="K63" s="1506"/>
      <c r="L63" s="1507">
        <f>SUM(C63:K63)</f>
        <v>508000</v>
      </c>
    </row>
    <row r="64" spans="1:53" s="1511" customFormat="1" ht="0.15" customHeight="1" thickBot="1" x14ac:dyDescent="0.3">
      <c r="A64" s="1530"/>
      <c r="B64" s="1526" t="s">
        <v>357</v>
      </c>
      <c r="C64" s="1531">
        <f>SUM(C63)</f>
        <v>508000</v>
      </c>
      <c r="D64" s="1531"/>
      <c r="E64" s="1531"/>
      <c r="F64" s="1531"/>
      <c r="G64" s="1531"/>
      <c r="H64" s="1531"/>
      <c r="I64" s="1531"/>
      <c r="J64" s="1531"/>
      <c r="K64" s="1532"/>
      <c r="L64" s="1529">
        <f>SUM(C64:K64)</f>
        <v>508000</v>
      </c>
      <c r="M64" s="1486"/>
      <c r="N64" s="1487"/>
      <c r="O64" s="1487"/>
      <c r="P64" s="1487"/>
      <c r="Q64" s="1487"/>
      <c r="R64" s="1487"/>
      <c r="S64" s="1487"/>
      <c r="T64" s="1487"/>
      <c r="U64" s="1487"/>
      <c r="V64" s="1487"/>
      <c r="W64" s="1487"/>
      <c r="X64" s="1487"/>
      <c r="Y64" s="1487"/>
      <c r="Z64" s="1487"/>
      <c r="AA64" s="1487"/>
      <c r="AB64" s="1487"/>
      <c r="AC64" s="1487"/>
      <c r="AD64" s="1487"/>
      <c r="AE64" s="1487"/>
      <c r="AF64" s="1487"/>
      <c r="AG64" s="1487"/>
      <c r="AH64" s="1487"/>
      <c r="AI64" s="1487"/>
      <c r="AJ64" s="1487"/>
      <c r="AK64" s="1487"/>
      <c r="AL64" s="1487"/>
      <c r="AM64" s="1487"/>
      <c r="AN64" s="1487"/>
      <c r="AO64" s="1487"/>
      <c r="AP64" s="1487"/>
      <c r="AQ64" s="1487"/>
      <c r="AR64" s="1487"/>
      <c r="AS64" s="1487"/>
      <c r="AT64" s="1487"/>
      <c r="AU64" s="1487"/>
      <c r="AV64" s="1487"/>
      <c r="AW64" s="1487"/>
      <c r="AX64" s="1487"/>
      <c r="AY64" s="1487"/>
      <c r="AZ64" s="1487"/>
      <c r="BA64" s="1487"/>
    </row>
    <row r="65" spans="1:53" s="1517" customFormat="1" ht="0.15" customHeight="1" thickBot="1" x14ac:dyDescent="0.3">
      <c r="A65" s="1512"/>
      <c r="B65" s="1513" t="s">
        <v>355</v>
      </c>
      <c r="C65" s="1514"/>
      <c r="D65" s="1514"/>
      <c r="E65" s="1514"/>
      <c r="F65" s="1514"/>
      <c r="G65" s="1514"/>
      <c r="H65" s="1514"/>
      <c r="I65" s="1514"/>
      <c r="J65" s="1514"/>
      <c r="K65" s="1515"/>
      <c r="L65" s="1516">
        <f>SUM(C65:K65)</f>
        <v>0</v>
      </c>
      <c r="M65" s="1408"/>
      <c r="N65" s="1409"/>
      <c r="O65" s="1409"/>
      <c r="P65" s="1409"/>
      <c r="Q65" s="1409"/>
      <c r="R65" s="1409"/>
      <c r="S65" s="1409"/>
      <c r="T65" s="1409"/>
      <c r="U65" s="1409"/>
      <c r="V65" s="1409"/>
      <c r="W65" s="1409"/>
      <c r="X65" s="1409"/>
      <c r="Y65" s="1409"/>
      <c r="Z65" s="1409"/>
      <c r="AA65" s="1409"/>
      <c r="AB65" s="1409"/>
      <c r="AC65" s="1409"/>
      <c r="AD65" s="1409"/>
      <c r="AE65" s="1409"/>
      <c r="AF65" s="1409"/>
      <c r="AG65" s="1409"/>
      <c r="AH65" s="1409"/>
      <c r="AI65" s="1409"/>
      <c r="AJ65" s="1409"/>
      <c r="AK65" s="1409"/>
      <c r="AL65" s="1409"/>
      <c r="AM65" s="1409"/>
      <c r="AN65" s="1409"/>
      <c r="AO65" s="1409"/>
      <c r="AP65" s="1409"/>
      <c r="AQ65" s="1409"/>
      <c r="AR65" s="1409"/>
      <c r="AS65" s="1409"/>
      <c r="AT65" s="1409"/>
      <c r="AU65" s="1409"/>
      <c r="AV65" s="1409"/>
      <c r="AW65" s="1409"/>
      <c r="AX65" s="1409"/>
      <c r="AY65" s="1409"/>
      <c r="AZ65" s="1409"/>
      <c r="BA65" s="1409"/>
    </row>
    <row r="66" spans="1:53" s="1409" customFormat="1" ht="23.25" customHeight="1" x14ac:dyDescent="0.25">
      <c r="A66" s="1403" t="s">
        <v>280</v>
      </c>
      <c r="B66" s="1404" t="s">
        <v>281</v>
      </c>
      <c r="C66" s="1405"/>
      <c r="D66" s="1405"/>
      <c r="E66" s="1405"/>
      <c r="F66" s="1405"/>
      <c r="G66" s="1405"/>
      <c r="H66" s="1405"/>
      <c r="I66" s="1405"/>
      <c r="J66" s="1405"/>
      <c r="K66" s="1406"/>
      <c r="L66" s="1407"/>
      <c r="M66" s="1408"/>
    </row>
    <row r="67" spans="1:53" s="1409" customFormat="1" ht="15" customHeight="1" thickBot="1" x14ac:dyDescent="0.3">
      <c r="A67" s="1410"/>
      <c r="B67" s="1411" t="s">
        <v>356</v>
      </c>
      <c r="C67" s="1412"/>
      <c r="D67" s="1412"/>
      <c r="E67" s="1412"/>
      <c r="F67" s="1412"/>
      <c r="G67" s="1412">
        <f>SUM('5. sz.melléklet'!C27)</f>
        <v>35308000</v>
      </c>
      <c r="H67" s="1412"/>
      <c r="I67" s="1412"/>
      <c r="J67" s="1412"/>
      <c r="K67" s="1413"/>
      <c r="L67" s="1414">
        <f>SUM(C67:K67)</f>
        <v>35308000</v>
      </c>
      <c r="M67" s="1408"/>
    </row>
    <row r="68" spans="1:53" ht="21.75" customHeight="1" x14ac:dyDescent="0.25">
      <c r="A68" s="1518" t="s">
        <v>387</v>
      </c>
      <c r="B68" s="1519" t="s">
        <v>394</v>
      </c>
      <c r="C68" s="1500"/>
      <c r="D68" s="1500"/>
      <c r="E68" s="1500"/>
      <c r="F68" s="1500"/>
      <c r="G68" s="1500"/>
      <c r="H68" s="1500"/>
      <c r="I68" s="1500"/>
      <c r="J68" s="1500"/>
      <c r="K68" s="1501"/>
      <c r="L68" s="1502"/>
    </row>
    <row r="69" spans="1:53" ht="15" customHeight="1" thickBot="1" x14ac:dyDescent="0.3">
      <c r="A69" s="1520"/>
      <c r="B69" s="1521" t="s">
        <v>356</v>
      </c>
      <c r="C69" s="1505">
        <v>9516000</v>
      </c>
      <c r="D69" s="1505"/>
      <c r="E69" s="1505"/>
      <c r="F69" s="1505"/>
      <c r="G69" s="1505"/>
      <c r="H69" s="1505"/>
      <c r="I69" s="1505"/>
      <c r="J69" s="1505"/>
      <c r="K69" s="1506"/>
      <c r="L69" s="1507">
        <f>SUM(C69:K69)</f>
        <v>9516000</v>
      </c>
    </row>
    <row r="70" spans="1:53" s="1511" customFormat="1" ht="0.15" customHeight="1" thickBot="1" x14ac:dyDescent="0.3">
      <c r="A70" s="1530"/>
      <c r="B70" s="1526" t="s">
        <v>357</v>
      </c>
      <c r="C70" s="1527">
        <v>18409</v>
      </c>
      <c r="D70" s="1527"/>
      <c r="E70" s="1527"/>
      <c r="F70" s="1527"/>
      <c r="G70" s="1527"/>
      <c r="H70" s="1527"/>
      <c r="I70" s="1527"/>
      <c r="J70" s="1527"/>
      <c r="K70" s="1528"/>
      <c r="L70" s="1529">
        <f>SUM(C70:K70)</f>
        <v>18409</v>
      </c>
      <c r="M70" s="1486"/>
      <c r="N70" s="1487"/>
      <c r="O70" s="1487"/>
      <c r="P70" s="1487"/>
      <c r="Q70" s="1487"/>
      <c r="R70" s="1487"/>
      <c r="S70" s="1487"/>
      <c r="T70" s="1487"/>
      <c r="U70" s="1487"/>
      <c r="V70" s="1487"/>
      <c r="W70" s="1487"/>
      <c r="X70" s="1487"/>
      <c r="Y70" s="1487"/>
      <c r="Z70" s="1487"/>
      <c r="AA70" s="1487"/>
      <c r="AB70" s="1487"/>
      <c r="AC70" s="1487"/>
      <c r="AD70" s="1487"/>
      <c r="AE70" s="1487"/>
      <c r="AF70" s="1487"/>
      <c r="AG70" s="1487"/>
      <c r="AH70" s="1487"/>
      <c r="AI70" s="1487"/>
      <c r="AJ70" s="1487"/>
      <c r="AK70" s="1487"/>
      <c r="AL70" s="1487"/>
      <c r="AM70" s="1487"/>
      <c r="AN70" s="1487"/>
      <c r="AO70" s="1487"/>
      <c r="AP70" s="1487"/>
      <c r="AQ70" s="1487"/>
      <c r="AR70" s="1487"/>
      <c r="AS70" s="1487"/>
      <c r="AT70" s="1487"/>
      <c r="AU70" s="1487"/>
      <c r="AV70" s="1487"/>
      <c r="AW70" s="1487"/>
      <c r="AX70" s="1487"/>
      <c r="AY70" s="1487"/>
      <c r="AZ70" s="1487"/>
      <c r="BA70" s="1487"/>
    </row>
    <row r="71" spans="1:53" s="1517" customFormat="1" ht="0.15" customHeight="1" thickBot="1" x14ac:dyDescent="0.3">
      <c r="A71" s="1512"/>
      <c r="B71" s="1513" t="s">
        <v>355</v>
      </c>
      <c r="C71" s="1514"/>
      <c r="D71" s="1514"/>
      <c r="E71" s="1514"/>
      <c r="F71" s="1514"/>
      <c r="G71" s="1514"/>
      <c r="H71" s="1514"/>
      <c r="I71" s="1514"/>
      <c r="J71" s="1514"/>
      <c r="K71" s="1515"/>
      <c r="L71" s="1516">
        <f>SUM(C71:K71)</f>
        <v>0</v>
      </c>
      <c r="M71" s="1408"/>
      <c r="N71" s="1409"/>
      <c r="O71" s="1409"/>
      <c r="P71" s="1409"/>
      <c r="Q71" s="1409"/>
      <c r="R71" s="1409"/>
      <c r="S71" s="1409"/>
      <c r="T71" s="1409"/>
      <c r="U71" s="1409"/>
      <c r="V71" s="1409"/>
      <c r="W71" s="1409"/>
      <c r="X71" s="1409"/>
      <c r="Y71" s="1409"/>
      <c r="Z71" s="1409"/>
      <c r="AA71" s="1409"/>
      <c r="AB71" s="1409"/>
      <c r="AC71" s="1409"/>
      <c r="AD71" s="1409"/>
      <c r="AE71" s="1409"/>
      <c r="AF71" s="1409"/>
      <c r="AG71" s="1409"/>
      <c r="AH71" s="1409"/>
      <c r="AI71" s="1409"/>
      <c r="AJ71" s="1409"/>
      <c r="AK71" s="1409"/>
      <c r="AL71" s="1409"/>
      <c r="AM71" s="1409"/>
      <c r="AN71" s="1409"/>
      <c r="AO71" s="1409"/>
      <c r="AP71" s="1409"/>
      <c r="AQ71" s="1409"/>
      <c r="AR71" s="1409"/>
      <c r="AS71" s="1409"/>
      <c r="AT71" s="1409"/>
      <c r="AU71" s="1409"/>
      <c r="AV71" s="1409"/>
      <c r="AW71" s="1409"/>
      <c r="AX71" s="1409"/>
      <c r="AY71" s="1409"/>
      <c r="AZ71" s="1409"/>
      <c r="BA71" s="1409"/>
    </row>
    <row r="72" spans="1:53" ht="15" customHeight="1" x14ac:dyDescent="0.25">
      <c r="A72" s="1518" t="s">
        <v>267</v>
      </c>
      <c r="B72" s="1519" t="s">
        <v>113</v>
      </c>
      <c r="C72" s="1500"/>
      <c r="D72" s="1500"/>
      <c r="E72" s="1500"/>
      <c r="F72" s="1500"/>
      <c r="G72" s="1500"/>
      <c r="H72" s="1500"/>
      <c r="I72" s="1500"/>
      <c r="J72" s="1500"/>
      <c r="K72" s="1501"/>
      <c r="L72" s="1502"/>
    </row>
    <row r="73" spans="1:53" ht="15" customHeight="1" thickBot="1" x14ac:dyDescent="0.3">
      <c r="A73" s="1520"/>
      <c r="B73" s="1521" t="s">
        <v>356</v>
      </c>
      <c r="C73" s="1505">
        <v>889000</v>
      </c>
      <c r="D73" s="1505"/>
      <c r="E73" s="1505"/>
      <c r="F73" s="1505"/>
      <c r="G73" s="1505"/>
      <c r="H73" s="1505"/>
      <c r="I73" s="1505"/>
      <c r="J73" s="1505"/>
      <c r="K73" s="1506"/>
      <c r="L73" s="1507">
        <f>SUM(C73:K73)</f>
        <v>889000</v>
      </c>
    </row>
    <row r="74" spans="1:53" s="1511" customFormat="1" ht="0.15" customHeight="1" thickBot="1" x14ac:dyDescent="0.3">
      <c r="A74" s="1530"/>
      <c r="B74" s="1526" t="s">
        <v>357</v>
      </c>
      <c r="C74" s="1531"/>
      <c r="D74" s="1531"/>
      <c r="E74" s="1531"/>
      <c r="F74" s="1531"/>
      <c r="G74" s="1531"/>
      <c r="H74" s="1531"/>
      <c r="I74" s="1531"/>
      <c r="J74" s="1531"/>
      <c r="K74" s="1532"/>
      <c r="L74" s="1529">
        <f>SUM(C74:K74)</f>
        <v>0</v>
      </c>
      <c r="M74" s="1486"/>
      <c r="N74" s="1487"/>
      <c r="O74" s="1487"/>
      <c r="P74" s="1487"/>
      <c r="Q74" s="1487"/>
      <c r="R74" s="1487"/>
      <c r="S74" s="1487"/>
      <c r="T74" s="1487"/>
      <c r="U74" s="1487"/>
      <c r="V74" s="1487"/>
      <c r="W74" s="1487"/>
      <c r="X74" s="1487"/>
      <c r="Y74" s="1487"/>
      <c r="Z74" s="1487"/>
      <c r="AA74" s="1487"/>
      <c r="AB74" s="1487"/>
      <c r="AC74" s="1487"/>
      <c r="AD74" s="1487"/>
      <c r="AE74" s="1487"/>
      <c r="AF74" s="1487"/>
      <c r="AG74" s="1487"/>
      <c r="AH74" s="1487"/>
      <c r="AI74" s="1487"/>
      <c r="AJ74" s="1487"/>
      <c r="AK74" s="1487"/>
      <c r="AL74" s="1487"/>
      <c r="AM74" s="1487"/>
      <c r="AN74" s="1487"/>
      <c r="AO74" s="1487"/>
      <c r="AP74" s="1487"/>
      <c r="AQ74" s="1487"/>
      <c r="AR74" s="1487"/>
      <c r="AS74" s="1487"/>
      <c r="AT74" s="1487"/>
      <c r="AU74" s="1487"/>
      <c r="AV74" s="1487"/>
      <c r="AW74" s="1487"/>
      <c r="AX74" s="1487"/>
      <c r="AY74" s="1487"/>
      <c r="AZ74" s="1487"/>
      <c r="BA74" s="1487"/>
    </row>
    <row r="75" spans="1:53" s="1517" customFormat="1" ht="0.15" customHeight="1" thickBot="1" x14ac:dyDescent="0.3">
      <c r="A75" s="1549"/>
      <c r="B75" s="1513" t="s">
        <v>355</v>
      </c>
      <c r="C75" s="1514"/>
      <c r="D75" s="1514"/>
      <c r="E75" s="1514"/>
      <c r="F75" s="1514"/>
      <c r="G75" s="1514"/>
      <c r="H75" s="1514"/>
      <c r="I75" s="1514"/>
      <c r="J75" s="1514"/>
      <c r="K75" s="1515"/>
      <c r="L75" s="1516">
        <f>SUM(C75:K75)</f>
        <v>0</v>
      </c>
      <c r="M75" s="1408"/>
      <c r="N75" s="1409"/>
      <c r="O75" s="1409"/>
      <c r="P75" s="1409"/>
      <c r="Q75" s="1409"/>
      <c r="R75" s="1409"/>
      <c r="S75" s="1409"/>
      <c r="T75" s="1409"/>
      <c r="U75" s="1409"/>
      <c r="V75" s="1409"/>
      <c r="W75" s="1409"/>
      <c r="X75" s="1409"/>
      <c r="Y75" s="1409"/>
      <c r="Z75" s="1409"/>
      <c r="AA75" s="1409"/>
      <c r="AB75" s="1409"/>
      <c r="AC75" s="1409"/>
      <c r="AD75" s="1409"/>
      <c r="AE75" s="1409"/>
      <c r="AF75" s="1409"/>
      <c r="AG75" s="1409"/>
      <c r="AH75" s="1409"/>
      <c r="AI75" s="1409"/>
      <c r="AJ75" s="1409"/>
      <c r="AK75" s="1409"/>
      <c r="AL75" s="1409"/>
      <c r="AM75" s="1409"/>
      <c r="AN75" s="1409"/>
      <c r="AO75" s="1409"/>
      <c r="AP75" s="1409"/>
      <c r="AQ75" s="1409"/>
      <c r="AR75" s="1409"/>
      <c r="AS75" s="1409"/>
      <c r="AT75" s="1409"/>
      <c r="AU75" s="1409"/>
      <c r="AV75" s="1409"/>
      <c r="AW75" s="1409"/>
      <c r="AX75" s="1409"/>
      <c r="AY75" s="1409"/>
      <c r="AZ75" s="1409"/>
      <c r="BA75" s="1409"/>
    </row>
    <row r="76" spans="1:53" ht="15" customHeight="1" x14ac:dyDescent="0.25">
      <c r="A76" s="1550" t="s">
        <v>268</v>
      </c>
      <c r="B76" s="1519" t="s">
        <v>421</v>
      </c>
      <c r="C76" s="1500"/>
      <c r="D76" s="1500"/>
      <c r="E76" s="1500"/>
      <c r="F76" s="1500"/>
      <c r="G76" s="1500"/>
      <c r="H76" s="1500"/>
      <c r="I76" s="1500"/>
      <c r="J76" s="1500"/>
      <c r="K76" s="1501"/>
      <c r="L76" s="1502"/>
    </row>
    <row r="77" spans="1:53" ht="15" customHeight="1" thickBot="1" x14ac:dyDescent="0.3">
      <c r="A77" s="1551"/>
      <c r="B77" s="1552" t="s">
        <v>356</v>
      </c>
      <c r="C77" s="1508"/>
      <c r="D77" s="1508"/>
      <c r="E77" s="1508"/>
      <c r="F77" s="1508"/>
      <c r="G77" s="1508"/>
      <c r="H77" s="1508"/>
      <c r="I77" s="1508"/>
      <c r="J77" s="1508"/>
      <c r="K77" s="1509"/>
      <c r="L77" s="1510">
        <f>SUM(C77:K77)</f>
        <v>0</v>
      </c>
    </row>
    <row r="78" spans="1:53" s="1511" customFormat="1" ht="0.15" customHeight="1" thickBot="1" x14ac:dyDescent="0.3">
      <c r="A78" s="1553"/>
      <c r="B78" s="1521" t="s">
        <v>357</v>
      </c>
      <c r="C78" s="1505"/>
      <c r="D78" s="1505"/>
      <c r="E78" s="1505"/>
      <c r="F78" s="1505"/>
      <c r="G78" s="1505"/>
      <c r="H78" s="1505"/>
      <c r="I78" s="1505"/>
      <c r="J78" s="1505"/>
      <c r="K78" s="1506"/>
      <c r="L78" s="1548">
        <f>SUM(C78:K78)</f>
        <v>0</v>
      </c>
      <c r="M78" s="1486"/>
      <c r="N78" s="1487"/>
      <c r="O78" s="1487"/>
      <c r="P78" s="1487"/>
      <c r="Q78" s="1487"/>
      <c r="R78" s="1487"/>
      <c r="S78" s="1487"/>
      <c r="T78" s="1487"/>
      <c r="U78" s="1487"/>
      <c r="V78" s="1487"/>
      <c r="W78" s="1487"/>
      <c r="X78" s="1487"/>
      <c r="Y78" s="1487"/>
      <c r="Z78" s="1487"/>
      <c r="AA78" s="1487"/>
      <c r="AB78" s="1487"/>
      <c r="AC78" s="1487"/>
      <c r="AD78" s="1487"/>
      <c r="AE78" s="1487"/>
      <c r="AF78" s="1487"/>
      <c r="AG78" s="1487"/>
      <c r="AH78" s="1487"/>
      <c r="AI78" s="1487"/>
      <c r="AJ78" s="1487"/>
      <c r="AK78" s="1487"/>
      <c r="AL78" s="1487"/>
      <c r="AM78" s="1487"/>
      <c r="AN78" s="1487"/>
      <c r="AO78" s="1487"/>
      <c r="AP78" s="1487"/>
      <c r="AQ78" s="1487"/>
      <c r="AR78" s="1487"/>
      <c r="AS78" s="1487"/>
      <c r="AT78" s="1487"/>
      <c r="AU78" s="1487"/>
      <c r="AV78" s="1487"/>
      <c r="AW78" s="1487"/>
      <c r="AX78" s="1487"/>
      <c r="AY78" s="1487"/>
      <c r="AZ78" s="1487"/>
      <c r="BA78" s="1487"/>
    </row>
    <row r="79" spans="1:53" s="1517" customFormat="1" ht="0.15" customHeight="1" thickBot="1" x14ac:dyDescent="0.3">
      <c r="A79" s="1549"/>
      <c r="B79" s="1513" t="s">
        <v>355</v>
      </c>
      <c r="C79" s="1514"/>
      <c r="D79" s="1514"/>
      <c r="E79" s="1514"/>
      <c r="F79" s="1514"/>
      <c r="G79" s="1514"/>
      <c r="H79" s="1514"/>
      <c r="I79" s="1514"/>
      <c r="J79" s="1514"/>
      <c r="K79" s="1515"/>
      <c r="L79" s="1516">
        <f>SUM(C79:K79)</f>
        <v>0</v>
      </c>
      <c r="M79" s="1408"/>
      <c r="N79" s="1409"/>
      <c r="O79" s="1409"/>
      <c r="P79" s="1409"/>
      <c r="Q79" s="1409"/>
      <c r="R79" s="1409"/>
      <c r="S79" s="1409"/>
      <c r="T79" s="1409"/>
      <c r="U79" s="1409"/>
      <c r="V79" s="1409"/>
      <c r="W79" s="1409"/>
      <c r="X79" s="1409"/>
      <c r="Y79" s="1409"/>
      <c r="Z79" s="1409"/>
      <c r="AA79" s="1409"/>
      <c r="AB79" s="1409"/>
      <c r="AC79" s="1409"/>
      <c r="AD79" s="1409"/>
      <c r="AE79" s="1409"/>
      <c r="AF79" s="1409"/>
      <c r="AG79" s="1409"/>
      <c r="AH79" s="1409"/>
      <c r="AI79" s="1409"/>
      <c r="AJ79" s="1409"/>
      <c r="AK79" s="1409"/>
      <c r="AL79" s="1409"/>
      <c r="AM79" s="1409"/>
      <c r="AN79" s="1409"/>
      <c r="AO79" s="1409"/>
      <c r="AP79" s="1409"/>
      <c r="AQ79" s="1409"/>
      <c r="AR79" s="1409"/>
      <c r="AS79" s="1409"/>
      <c r="AT79" s="1409"/>
      <c r="AU79" s="1409"/>
      <c r="AV79" s="1409"/>
      <c r="AW79" s="1409"/>
      <c r="AX79" s="1409"/>
      <c r="AY79" s="1409"/>
      <c r="AZ79" s="1409"/>
      <c r="BA79" s="1409"/>
    </row>
    <row r="80" spans="1:53" s="1409" customFormat="1" ht="26.25" customHeight="1" x14ac:dyDescent="0.25">
      <c r="A80" s="1554" t="s">
        <v>471</v>
      </c>
      <c r="B80" s="1404" t="s">
        <v>472</v>
      </c>
      <c r="C80" s="1405"/>
      <c r="D80" s="1405"/>
      <c r="E80" s="1405"/>
      <c r="F80" s="1405"/>
      <c r="G80" s="1405"/>
      <c r="H80" s="1405"/>
      <c r="I80" s="1405"/>
      <c r="J80" s="1405"/>
      <c r="K80" s="1555"/>
      <c r="L80" s="1407"/>
      <c r="M80" s="1408"/>
    </row>
    <row r="81" spans="1:53" s="1409" customFormat="1" ht="15" customHeight="1" thickBot="1" x14ac:dyDescent="0.3">
      <c r="A81" s="1556"/>
      <c r="B81" s="1557" t="s">
        <v>356</v>
      </c>
      <c r="C81" s="1558"/>
      <c r="D81" s="1558">
        <f>'5. sz.melléklet'!C7-'5. sz.melléklet'!C12</f>
        <v>575791000</v>
      </c>
      <c r="E81" s="1558"/>
      <c r="F81" s="1558"/>
      <c r="G81" s="1558"/>
      <c r="H81" s="1558"/>
      <c r="I81" s="1558"/>
      <c r="J81" s="1558"/>
      <c r="K81" s="1559"/>
      <c r="L81" s="1560">
        <f>SUM(C81:K81)</f>
        <v>575791000</v>
      </c>
      <c r="M81" s="1408"/>
    </row>
    <row r="82" spans="1:53" s="1409" customFormat="1" ht="0.15" customHeight="1" thickBot="1" x14ac:dyDescent="0.3">
      <c r="A82" s="1561"/>
      <c r="B82" s="1562" t="s">
        <v>357</v>
      </c>
      <c r="C82" s="1563"/>
      <c r="D82" s="1563">
        <v>543532</v>
      </c>
      <c r="E82" s="1563"/>
      <c r="F82" s="1563"/>
      <c r="G82" s="1563"/>
      <c r="H82" s="1563"/>
      <c r="I82" s="1563"/>
      <c r="J82" s="1563"/>
      <c r="K82" s="1564"/>
      <c r="L82" s="1565">
        <f>SUM(C82:K82)</f>
        <v>543532</v>
      </c>
      <c r="M82" s="1408"/>
    </row>
    <row r="83" spans="1:53" s="1409" customFormat="1" ht="0.15" customHeight="1" thickBot="1" x14ac:dyDescent="0.3">
      <c r="A83" s="1549"/>
      <c r="B83" s="1513"/>
      <c r="C83" s="1514"/>
      <c r="D83" s="1514"/>
      <c r="E83" s="1514"/>
      <c r="F83" s="1514"/>
      <c r="G83" s="1514"/>
      <c r="H83" s="1514"/>
      <c r="I83" s="1514"/>
      <c r="J83" s="1514"/>
      <c r="K83" s="1566"/>
      <c r="L83" s="1567"/>
      <c r="M83" s="1408"/>
    </row>
    <row r="84" spans="1:53" s="1572" customFormat="1" ht="21.75" customHeight="1" x14ac:dyDescent="0.25">
      <c r="A84" s="1554" t="s">
        <v>278</v>
      </c>
      <c r="B84" s="1404" t="s">
        <v>473</v>
      </c>
      <c r="C84" s="1568"/>
      <c r="D84" s="1568"/>
      <c r="E84" s="1568"/>
      <c r="F84" s="1568"/>
      <c r="G84" s="1568"/>
      <c r="H84" s="1568"/>
      <c r="I84" s="1568"/>
      <c r="J84" s="1568"/>
      <c r="K84" s="1569"/>
      <c r="L84" s="1570"/>
      <c r="M84" s="1571"/>
    </row>
    <row r="85" spans="1:53" s="1572" customFormat="1" ht="15" customHeight="1" thickBot="1" x14ac:dyDescent="0.3">
      <c r="A85" s="1573"/>
      <c r="B85" s="1411" t="s">
        <v>356</v>
      </c>
      <c r="C85" s="1412"/>
      <c r="D85" s="1412"/>
      <c r="E85" s="1412"/>
      <c r="F85" s="1412"/>
      <c r="G85" s="1412"/>
      <c r="H85" s="1412"/>
      <c r="I85" s="1412"/>
      <c r="J85" s="1412"/>
      <c r="K85" s="1574">
        <v>300000000</v>
      </c>
      <c r="L85" s="1414">
        <f>SUM(C85:K85)</f>
        <v>300000000</v>
      </c>
      <c r="M85" s="1571"/>
    </row>
    <row r="86" spans="1:53" s="1572" customFormat="1" ht="0.15" customHeight="1" thickBot="1" x14ac:dyDescent="0.3">
      <c r="A86" s="1575"/>
      <c r="B86" s="1576" t="s">
        <v>357</v>
      </c>
      <c r="C86" s="1577"/>
      <c r="D86" s="1577"/>
      <c r="E86" s="1577"/>
      <c r="F86" s="1577"/>
      <c r="G86" s="1577"/>
      <c r="H86" s="1577"/>
      <c r="I86" s="1577"/>
      <c r="J86" s="1577"/>
      <c r="K86" s="1578">
        <f>144670+86905+17175</f>
        <v>248750</v>
      </c>
      <c r="L86" s="1579">
        <f>SUM(K86)</f>
        <v>248750</v>
      </c>
      <c r="M86" s="1571"/>
    </row>
    <row r="87" spans="1:53" s="1517" customFormat="1" ht="0.15" customHeight="1" thickBot="1" x14ac:dyDescent="0.3">
      <c r="A87" s="1549"/>
      <c r="B87" s="1513" t="s">
        <v>355</v>
      </c>
      <c r="C87" s="1514"/>
      <c r="D87" s="1514"/>
      <c r="E87" s="1514"/>
      <c r="F87" s="1514"/>
      <c r="G87" s="1514"/>
      <c r="H87" s="1514"/>
      <c r="I87" s="1514"/>
      <c r="J87" s="1514"/>
      <c r="K87" s="1515"/>
      <c r="L87" s="1516">
        <f>SUM(E87:K87)</f>
        <v>0</v>
      </c>
      <c r="M87" s="1408"/>
      <c r="N87" s="1409"/>
      <c r="O87" s="1409"/>
      <c r="P87" s="1409"/>
      <c r="Q87" s="1409"/>
      <c r="R87" s="1409"/>
      <c r="S87" s="1409"/>
      <c r="T87" s="1409"/>
      <c r="U87" s="1409"/>
      <c r="V87" s="1409"/>
      <c r="W87" s="1409"/>
      <c r="X87" s="1409"/>
      <c r="Y87" s="1409"/>
      <c r="Z87" s="1409"/>
      <c r="AA87" s="1409"/>
      <c r="AB87" s="1409"/>
      <c r="AC87" s="1409"/>
      <c r="AD87" s="1409"/>
      <c r="AE87" s="1409"/>
      <c r="AF87" s="1409"/>
      <c r="AG87" s="1409"/>
      <c r="AH87" s="1409"/>
      <c r="AI87" s="1409"/>
      <c r="AJ87" s="1409"/>
      <c r="AK87" s="1409"/>
      <c r="AL87" s="1409"/>
      <c r="AM87" s="1409"/>
      <c r="AN87" s="1409"/>
      <c r="AO87" s="1409"/>
      <c r="AP87" s="1409"/>
      <c r="AQ87" s="1409"/>
      <c r="AR87" s="1409"/>
      <c r="AS87" s="1409"/>
      <c r="AT87" s="1409"/>
      <c r="AU87" s="1409"/>
      <c r="AV87" s="1409"/>
      <c r="AW87" s="1409"/>
      <c r="AX87" s="1409"/>
      <c r="AY87" s="1409"/>
      <c r="AZ87" s="1409"/>
      <c r="BA87" s="1409"/>
    </row>
    <row r="88" spans="1:53" s="1586" customFormat="1" ht="21.75" customHeight="1" x14ac:dyDescent="0.15">
      <c r="A88" s="1580"/>
      <c r="B88" s="1581" t="s">
        <v>96</v>
      </c>
      <c r="C88" s="1582"/>
      <c r="D88" s="1582"/>
      <c r="E88" s="1582"/>
      <c r="F88" s="1582"/>
      <c r="G88" s="1582"/>
      <c r="H88" s="1582"/>
      <c r="I88" s="1582"/>
      <c r="J88" s="1582"/>
      <c r="K88" s="1583"/>
      <c r="L88" s="1502"/>
      <c r="M88" s="1584"/>
      <c r="N88" s="1585"/>
    </row>
    <row r="89" spans="1:53" ht="15" customHeight="1" thickBot="1" x14ac:dyDescent="0.3">
      <c r="A89" s="1587"/>
      <c r="B89" s="1588" t="s">
        <v>356</v>
      </c>
      <c r="C89" s="1589">
        <f>C11+C15+C19+C27+C33+C37+C41+C47+C51+C55+C59+C69+C73+C63+C7+C85+C81+C77+C23+C67+C31</f>
        <v>89899000</v>
      </c>
      <c r="D89" s="1589">
        <f t="shared" ref="D89:L89" si="0">D11+D15+D19+D27+D33+D37+D41+D47+D51+D55+D59+D69+D73+D63+D7+D85+D81+D77+D23+D67+D31</f>
        <v>580834000</v>
      </c>
      <c r="E89" s="1589">
        <f t="shared" si="0"/>
        <v>129565489</v>
      </c>
      <c r="F89" s="1589">
        <f t="shared" si="0"/>
        <v>20021600</v>
      </c>
      <c r="G89" s="1589">
        <f t="shared" si="0"/>
        <v>772274574</v>
      </c>
      <c r="H89" s="1589">
        <f t="shared" si="0"/>
        <v>0</v>
      </c>
      <c r="I89" s="1589">
        <f t="shared" si="0"/>
        <v>217933000</v>
      </c>
      <c r="J89" s="1589">
        <f t="shared" si="0"/>
        <v>100000000</v>
      </c>
      <c r="K89" s="1590">
        <f t="shared" si="0"/>
        <v>300000000</v>
      </c>
      <c r="L89" s="1591">
        <f t="shared" si="0"/>
        <v>2210527663</v>
      </c>
      <c r="N89" s="1592"/>
    </row>
    <row r="90" spans="1:53" s="1511" customFormat="1" ht="0.15" customHeight="1" thickBot="1" x14ac:dyDescent="0.3">
      <c r="A90" s="1593"/>
      <c r="B90" s="1594" t="s">
        <v>357</v>
      </c>
      <c r="C90" s="1595" t="e">
        <f>SUM(C74+C70+#REF!+C60+C52+C56+C48+C44+C42+C38+C34+C28+C20+C16+C12+C8+#REF!+C64)</f>
        <v>#REF!</v>
      </c>
      <c r="D90" s="1595" t="e">
        <f>#REF!+D12+D16+D20+D28+D34+D38+D42+D44+D48+D52+D56+D60+#REF!+D70+D74+D82</f>
        <v>#REF!</v>
      </c>
      <c r="E90" s="1595" t="e">
        <f>SUM(#REF!+E70+#REF!+#REF!+#REF!+#REF!+E16+E12)</f>
        <v>#REF!</v>
      </c>
      <c r="F90" s="1595" t="e">
        <f>#REF!+F12+F16+F20+F28+F34+F38+F42+F44+F48+F52+F56+F60+#REF!+F70+F74+F78+F24</f>
        <v>#REF!</v>
      </c>
      <c r="G90" s="1595" t="e">
        <f>#REF!+G12+G16+G20+G28+G34+G38+G42+G44+G48+G52+G56+G60+#REF!+G70+G74</f>
        <v>#REF!</v>
      </c>
      <c r="H90" s="1595" t="e">
        <f>#REF!+H12+H16+H20+H28+H34+H38+H42+H44+H48+H52+H56+H60+#REF!+H70+H74+H8</f>
        <v>#REF!</v>
      </c>
      <c r="I90" s="1595" t="e">
        <f>#REF!+I12+I16+I20+I28+I34+I38+I42+I44+I48+I52+I56+I60+#REF!+I70+I74</f>
        <v>#REF!</v>
      </c>
      <c r="J90" s="1595" t="e">
        <f>#REF!+J12+J16+J20+J28+J34+J38+J42+J44+J48+J52+J56+J60+#REF!+J70+J74</f>
        <v>#REF!</v>
      </c>
      <c r="K90" s="1596" t="e">
        <f>#REF!+K12+K16+K20+K28+K34+K38+K42+K44+K48+K52+K56+K60+#REF!+K70+K74+K8+K86</f>
        <v>#REF!</v>
      </c>
      <c r="L90" s="1597" t="e">
        <f>SUM(L74+L70+#REF!+L60+L56+L52+L48+L44+L42+L38+L34+L28+L20+L16+L12+L8+#REF!+L64+#REF!+L24+#REF!+#REF!+#REF!+#REF!+L78+#REF!+#REF!+#REF!+#REF!+L82+L86)</f>
        <v>#REF!</v>
      </c>
      <c r="M90" s="1486"/>
      <c r="N90" s="1592" t="e">
        <f>SUM(C90:K90)</f>
        <v>#REF!</v>
      </c>
      <c r="O90" s="1487">
        <v>1642801</v>
      </c>
      <c r="P90" s="1487"/>
      <c r="Q90" s="1487"/>
      <c r="R90" s="1487"/>
      <c r="S90" s="1487"/>
      <c r="T90" s="1487"/>
      <c r="U90" s="1487"/>
      <c r="V90" s="1487"/>
      <c r="W90" s="1487"/>
      <c r="X90" s="1487"/>
      <c r="Y90" s="1487"/>
      <c r="Z90" s="1487"/>
      <c r="AA90" s="1487"/>
      <c r="AB90" s="1487"/>
      <c r="AC90" s="1487"/>
      <c r="AD90" s="1487"/>
      <c r="AE90" s="1487"/>
      <c r="AF90" s="1487"/>
      <c r="AG90" s="1487"/>
      <c r="AH90" s="1487"/>
      <c r="AI90" s="1487"/>
      <c r="AJ90" s="1487"/>
      <c r="AK90" s="1487"/>
      <c r="AL90" s="1487"/>
      <c r="AM90" s="1487"/>
      <c r="AN90" s="1487"/>
      <c r="AO90" s="1487"/>
      <c r="AP90" s="1487"/>
      <c r="AQ90" s="1487"/>
      <c r="AR90" s="1487"/>
      <c r="AS90" s="1487"/>
      <c r="AT90" s="1487"/>
      <c r="AU90" s="1487"/>
      <c r="AV90" s="1487"/>
      <c r="AW90" s="1487"/>
      <c r="AX90" s="1487"/>
      <c r="AY90" s="1487"/>
      <c r="AZ90" s="1487"/>
      <c r="BA90" s="1487"/>
    </row>
    <row r="91" spans="1:53" s="1602" customFormat="1" ht="1.5" customHeight="1" x14ac:dyDescent="0.25">
      <c r="A91" s="1598"/>
      <c r="B91" s="1599" t="s">
        <v>355</v>
      </c>
      <c r="C91" s="1600" t="e">
        <f>SUM(C75+C71+#REF!+C61+C53+C57+C49+C45+C43+C39+C35+C29+C21+C17+C13+C9+#REF!+C65+#REF!)</f>
        <v>#REF!</v>
      </c>
      <c r="D91" s="1600" t="e">
        <f>#REF!+D13+D17+D21+D29+D35+D39+D43+D45+D49+D53+D57+D61+#REF!+D71+D75+D9</f>
        <v>#REF!</v>
      </c>
      <c r="E91" s="1600" t="e">
        <f>#REF!+E13+E17+E21+E29+E35+E39+E43+E45+E49+E53+E57+E61+#REF!+E71+E75+E87+#REF!+#REF!+E79+#REF!+#REF!+E65+#REF!+#REF!+E25+E9+#REF!</f>
        <v>#REF!</v>
      </c>
      <c r="F91" s="1600" t="e">
        <f>#REF!+F13+F17+F21+F29+F35+F39+F43+F45+F49+F53+F57+F61+#REF!+F71+F75+F79+F25+F9</f>
        <v>#REF!</v>
      </c>
      <c r="G91" s="1600">
        <f>SUM(G39+G13+G9)</f>
        <v>0</v>
      </c>
      <c r="H91" s="1600" t="e">
        <f>#REF!+H13+H17+H21+H29+H35+H39+H43+H45+H49+H53+H57+H61+#REF!+H71+H75+H9</f>
        <v>#REF!</v>
      </c>
      <c r="I91" s="1600" t="e">
        <f>#REF!+I13+I17+I21+I29+I35+I39+I43+I45+I49+I53+I57+I61+#REF!+I71+I75</f>
        <v>#REF!</v>
      </c>
      <c r="J91" s="1600" t="e">
        <f>#REF!+J13+J17+J21+J29+J35+J39+J43+J45+J49+J53+J57+J61+#REF!+J71+J75</f>
        <v>#REF!</v>
      </c>
      <c r="K91" s="1600" t="e">
        <f>#REF!+K13+K17+K21+K29+K35+K39+K43+K45+K49+K53+K57+K61+#REF!+K71+K75+K9</f>
        <v>#REF!</v>
      </c>
      <c r="L91" s="1600" t="e">
        <f>SUM(L75+L71+#REF!+L61+L57+L53+L49+L45+L43+L39+L35+L29+L21+L17+L13+L9+#REF!+L65+#REF!+L25+#REF!+#REF!+#REF!+#REF!+L79+#REF!+#REF!+L87+#REF!)</f>
        <v>#REF!</v>
      </c>
      <c r="M91" s="1409"/>
      <c r="N91" s="1601" t="e">
        <f>SUM(C91:K91)</f>
        <v>#REF!</v>
      </c>
      <c r="O91" s="1409"/>
      <c r="P91" s="1409"/>
      <c r="Q91" s="1409"/>
      <c r="R91" s="1409"/>
      <c r="S91" s="1409"/>
      <c r="T91" s="1409"/>
      <c r="U91" s="1409"/>
      <c r="V91" s="1409"/>
      <c r="W91" s="1409"/>
      <c r="X91" s="1409"/>
      <c r="Y91" s="1409"/>
      <c r="Z91" s="1409"/>
      <c r="AA91" s="1409"/>
      <c r="AB91" s="1409"/>
      <c r="AC91" s="1409"/>
      <c r="AD91" s="1409"/>
      <c r="AE91" s="1409"/>
      <c r="AF91" s="1409"/>
      <c r="AG91" s="1409"/>
      <c r="AH91" s="1409"/>
      <c r="AI91" s="1409"/>
      <c r="AJ91" s="1409"/>
      <c r="AK91" s="1409"/>
      <c r="AL91" s="1409"/>
      <c r="AM91" s="1409"/>
      <c r="AN91" s="1409"/>
      <c r="AO91" s="1409"/>
      <c r="AP91" s="1409"/>
      <c r="AQ91" s="1409"/>
      <c r="AR91" s="1409"/>
      <c r="AS91" s="1409"/>
      <c r="AT91" s="1409"/>
      <c r="AU91" s="1409"/>
      <c r="AV91" s="1409"/>
      <c r="AW91" s="1409"/>
      <c r="AX91" s="1409"/>
      <c r="AY91" s="1409"/>
      <c r="AZ91" s="1409"/>
      <c r="BA91" s="1409"/>
    </row>
    <row r="92" spans="1:53" s="1409" customFormat="1" ht="15" hidden="1" customHeight="1" x14ac:dyDescent="0.25">
      <c r="A92" s="1603"/>
      <c r="B92" s="1604" t="s">
        <v>429</v>
      </c>
      <c r="C92" s="1605" t="e">
        <f>SUM(C91/C90)</f>
        <v>#REF!</v>
      </c>
      <c r="D92" s="1605" t="e">
        <f t="shared" ref="D92:L92" si="1">SUM(D91/D90)</f>
        <v>#REF!</v>
      </c>
      <c r="E92" s="1605" t="e">
        <f t="shared" si="1"/>
        <v>#REF!</v>
      </c>
      <c r="F92" s="1605" t="e">
        <f t="shared" si="1"/>
        <v>#REF!</v>
      </c>
      <c r="G92" s="1605" t="e">
        <f t="shared" si="1"/>
        <v>#REF!</v>
      </c>
      <c r="H92" s="1605" t="e">
        <f t="shared" si="1"/>
        <v>#REF!</v>
      </c>
      <c r="I92" s="1605" t="e">
        <f t="shared" si="1"/>
        <v>#REF!</v>
      </c>
      <c r="J92" s="1605" t="e">
        <f t="shared" si="1"/>
        <v>#REF!</v>
      </c>
      <c r="K92" s="1605" t="e">
        <f t="shared" si="1"/>
        <v>#REF!</v>
      </c>
      <c r="L92" s="1605" t="e">
        <f t="shared" si="1"/>
        <v>#REF!</v>
      </c>
    </row>
    <row r="93" spans="1:53" ht="0.75" hidden="1" customHeight="1" x14ac:dyDescent="0.25">
      <c r="B93" s="1607"/>
      <c r="C93" s="1608"/>
      <c r="D93" s="1608"/>
      <c r="E93" s="1608"/>
      <c r="F93" s="1608"/>
      <c r="G93" s="1608"/>
      <c r="H93" s="1608"/>
      <c r="I93" s="1608"/>
      <c r="J93" s="1608"/>
      <c r="K93" s="1608"/>
      <c r="M93" s="1487"/>
    </row>
    <row r="94" spans="1:53" ht="15" customHeight="1" x14ac:dyDescent="0.25">
      <c r="A94" s="1609"/>
      <c r="B94" s="1610"/>
      <c r="C94" s="1611"/>
      <c r="D94" s="1611"/>
      <c r="E94" s="1611"/>
      <c r="F94" s="1611"/>
      <c r="G94" s="1611"/>
      <c r="H94" s="1611"/>
      <c r="I94" s="1611"/>
      <c r="J94" s="1611"/>
      <c r="K94" s="1611"/>
      <c r="M94" s="1487"/>
    </row>
    <row r="95" spans="1:53" x14ac:dyDescent="0.25">
      <c r="A95" s="1612"/>
      <c r="B95" s="1608"/>
      <c r="C95" s="1608"/>
      <c r="D95" s="1608"/>
      <c r="E95" s="1608"/>
      <c r="F95" s="1608"/>
      <c r="G95" s="1608"/>
      <c r="H95" s="1608"/>
      <c r="I95" s="1608"/>
      <c r="J95" s="1608"/>
      <c r="K95" s="1608"/>
      <c r="M95" s="1487"/>
    </row>
    <row r="96" spans="1:53" x14ac:dyDescent="0.25">
      <c r="B96" s="1608"/>
      <c r="C96" s="1608"/>
      <c r="D96" s="1608"/>
      <c r="E96" s="1608"/>
      <c r="F96" s="1608"/>
      <c r="G96" s="1608"/>
      <c r="H96" s="1608"/>
      <c r="I96" s="1608"/>
      <c r="J96" s="1608"/>
      <c r="K96" s="1608"/>
      <c r="M96" s="1487"/>
    </row>
    <row r="97" spans="1:11" s="1487" customFormat="1" x14ac:dyDescent="0.25">
      <c r="A97" s="1613"/>
      <c r="B97" s="1610"/>
      <c r="C97" s="1610"/>
      <c r="D97" s="1610"/>
      <c r="E97" s="1610"/>
      <c r="F97" s="1610"/>
      <c r="G97" s="1610"/>
      <c r="H97" s="1610"/>
      <c r="I97" s="1610"/>
      <c r="J97" s="1610"/>
      <c r="K97" s="1610"/>
    </row>
    <row r="98" spans="1:11" s="1487" customFormat="1" x14ac:dyDescent="0.25">
      <c r="A98" s="1612"/>
      <c r="B98" s="1608"/>
      <c r="C98" s="1608"/>
      <c r="D98" s="1608"/>
      <c r="E98" s="1608"/>
      <c r="F98" s="1608"/>
      <c r="G98" s="1608"/>
      <c r="H98" s="1608"/>
      <c r="I98" s="1608"/>
      <c r="J98" s="1608"/>
      <c r="K98" s="1608"/>
    </row>
    <row r="99" spans="1:11" s="1487" customFormat="1" x14ac:dyDescent="0.25">
      <c r="A99" s="1612"/>
      <c r="B99" s="1608"/>
      <c r="C99" s="1608"/>
      <c r="D99" s="1608"/>
      <c r="E99" s="1608"/>
      <c r="F99" s="1608"/>
      <c r="G99" s="1608"/>
      <c r="H99" s="1608"/>
      <c r="I99" s="1608"/>
      <c r="J99" s="1608"/>
      <c r="K99" s="1608"/>
    </row>
    <row r="100" spans="1:11" s="1487" customFormat="1" x14ac:dyDescent="0.25">
      <c r="A100" s="1606"/>
      <c r="B100" s="1608"/>
      <c r="C100" s="1608"/>
      <c r="D100" s="1608"/>
      <c r="E100" s="1608"/>
      <c r="F100" s="1608"/>
      <c r="G100" s="1608"/>
      <c r="H100" s="1608"/>
      <c r="I100" s="1608"/>
      <c r="J100" s="1608"/>
      <c r="K100" s="1608"/>
    </row>
    <row r="101" spans="1:11" s="1487" customFormat="1" x14ac:dyDescent="0.25">
      <c r="A101" s="1613"/>
      <c r="B101" s="1610"/>
      <c r="C101" s="1611"/>
      <c r="D101" s="1611"/>
      <c r="E101" s="1611"/>
      <c r="F101" s="1611"/>
      <c r="G101" s="1611"/>
      <c r="H101" s="1611"/>
      <c r="I101" s="1611"/>
      <c r="J101" s="1611"/>
      <c r="K101" s="1611"/>
    </row>
    <row r="102" spans="1:11" s="1487" customFormat="1" x14ac:dyDescent="0.25">
      <c r="A102" s="1606"/>
      <c r="B102" s="1608"/>
      <c r="C102" s="1608"/>
      <c r="D102" s="1608"/>
      <c r="E102" s="1608"/>
      <c r="F102" s="1608"/>
      <c r="G102" s="1608"/>
      <c r="H102" s="1608"/>
      <c r="I102" s="1608"/>
      <c r="J102" s="1608"/>
      <c r="K102" s="1608"/>
    </row>
    <row r="103" spans="1:11" s="1487" customFormat="1" x14ac:dyDescent="0.25">
      <c r="A103" s="1606"/>
      <c r="B103" s="1608"/>
      <c r="C103" s="1608"/>
      <c r="D103" s="1608"/>
      <c r="E103" s="1608"/>
      <c r="F103" s="1608"/>
      <c r="G103" s="1608"/>
      <c r="H103" s="1608"/>
      <c r="I103" s="1608"/>
      <c r="J103" s="1608"/>
      <c r="K103" s="1608"/>
    </row>
    <row r="104" spans="1:11" s="1487" customFormat="1" x14ac:dyDescent="0.25">
      <c r="A104" s="1606"/>
      <c r="B104" s="1608"/>
      <c r="C104" s="1608"/>
      <c r="D104" s="1608"/>
      <c r="E104" s="1608"/>
      <c r="F104" s="1608"/>
      <c r="G104" s="1608"/>
      <c r="H104" s="1608"/>
      <c r="I104" s="1608"/>
      <c r="J104" s="1608"/>
      <c r="K104" s="1608"/>
    </row>
    <row r="105" spans="1:11" s="1487" customFormat="1" x14ac:dyDescent="0.25">
      <c r="A105" s="1613"/>
      <c r="B105" s="1610"/>
      <c r="C105" s="1610"/>
      <c r="D105" s="1610"/>
      <c r="E105" s="1610"/>
      <c r="F105" s="1610"/>
      <c r="G105" s="1610"/>
      <c r="H105" s="1610"/>
      <c r="I105" s="1610"/>
      <c r="J105" s="1610"/>
      <c r="K105" s="1610"/>
    </row>
    <row r="106" spans="1:11" s="1487" customFormat="1" x14ac:dyDescent="0.25">
      <c r="A106" s="1606"/>
      <c r="B106" s="1608"/>
      <c r="C106" s="1608"/>
      <c r="D106" s="1608"/>
      <c r="E106" s="1608"/>
      <c r="F106" s="1608"/>
      <c r="G106" s="1608"/>
      <c r="H106" s="1608"/>
      <c r="I106" s="1608"/>
      <c r="J106" s="1608"/>
      <c r="K106" s="1608"/>
    </row>
    <row r="107" spans="1:11" s="1487" customFormat="1" x14ac:dyDescent="0.25">
      <c r="A107" s="1606"/>
      <c r="B107" s="1608"/>
      <c r="C107" s="1608"/>
      <c r="D107" s="1608"/>
      <c r="E107" s="1608"/>
      <c r="F107" s="1608"/>
      <c r="G107" s="1608"/>
      <c r="H107" s="1608"/>
      <c r="I107" s="1608"/>
      <c r="J107" s="1608"/>
      <c r="K107" s="1608"/>
    </row>
    <row r="108" spans="1:11" s="1487" customFormat="1" x14ac:dyDescent="0.25">
      <c r="A108" s="1613"/>
      <c r="B108" s="1611"/>
      <c r="C108" s="1611"/>
      <c r="D108" s="1611"/>
      <c r="E108" s="1611"/>
      <c r="F108" s="1611"/>
      <c r="G108" s="1611"/>
      <c r="H108" s="1611"/>
      <c r="I108" s="1611"/>
      <c r="J108" s="1611"/>
      <c r="K108" s="1611"/>
    </row>
    <row r="109" spans="1:11" s="1487" customFormat="1" x14ac:dyDescent="0.25">
      <c r="A109" s="1606"/>
    </row>
    <row r="110" spans="1:11" s="1487" customFormat="1" x14ac:dyDescent="0.25">
      <c r="A110" s="1606"/>
    </row>
    <row r="111" spans="1:11" s="1487" customFormat="1" x14ac:dyDescent="0.25">
      <c r="A111" s="1606"/>
    </row>
    <row r="112" spans="1:11" s="1487" customFormat="1" x14ac:dyDescent="0.25">
      <c r="A112" s="1606"/>
    </row>
    <row r="113" spans="1:1" s="1487" customFormat="1" x14ac:dyDescent="0.25">
      <c r="A113" s="1606"/>
    </row>
    <row r="114" spans="1:1" s="1487" customFormat="1" x14ac:dyDescent="0.25">
      <c r="A114" s="1606"/>
    </row>
    <row r="115" spans="1:1" s="1487" customFormat="1" x14ac:dyDescent="0.25">
      <c r="A115" s="1606"/>
    </row>
    <row r="116" spans="1:1" s="1487" customFormat="1" x14ac:dyDescent="0.25">
      <c r="A116" s="1606"/>
    </row>
    <row r="117" spans="1:1" s="1487" customFormat="1" x14ac:dyDescent="0.25">
      <c r="A117" s="1606"/>
    </row>
    <row r="118" spans="1:1" s="1487" customFormat="1" x14ac:dyDescent="0.25">
      <c r="A118" s="1606"/>
    </row>
    <row r="119" spans="1:1" s="1487" customFormat="1" x14ac:dyDescent="0.25">
      <c r="A119" s="1606"/>
    </row>
    <row r="120" spans="1:1" s="1487" customFormat="1" x14ac:dyDescent="0.25">
      <c r="A120" s="1606"/>
    </row>
    <row r="121" spans="1:1" s="1487" customFormat="1" x14ac:dyDescent="0.25">
      <c r="A121" s="1606"/>
    </row>
    <row r="122" spans="1:1" s="1487" customFormat="1" x14ac:dyDescent="0.25">
      <c r="A122" s="1606"/>
    </row>
    <row r="123" spans="1:1" s="1487" customFormat="1" x14ac:dyDescent="0.25">
      <c r="A123" s="1606"/>
    </row>
    <row r="124" spans="1:1" s="1487" customFormat="1" x14ac:dyDescent="0.25">
      <c r="A124" s="1606"/>
    </row>
    <row r="125" spans="1:1" s="1487" customFormat="1" x14ac:dyDescent="0.25">
      <c r="A125" s="1606"/>
    </row>
    <row r="126" spans="1:1" s="1487" customFormat="1" x14ac:dyDescent="0.25">
      <c r="A126" s="1606"/>
    </row>
    <row r="127" spans="1:1" s="1487" customFormat="1" x14ac:dyDescent="0.25">
      <c r="A127" s="1606"/>
    </row>
    <row r="128" spans="1:1" s="1487" customFormat="1" x14ac:dyDescent="0.25">
      <c r="A128" s="1606"/>
    </row>
    <row r="129" spans="1:1" s="1487" customFormat="1" x14ac:dyDescent="0.25">
      <c r="A129" s="1606"/>
    </row>
    <row r="130" spans="1:1" s="1487" customFormat="1" x14ac:dyDescent="0.25">
      <c r="A130" s="1606"/>
    </row>
    <row r="131" spans="1:1" s="1487" customFormat="1" x14ac:dyDescent="0.25">
      <c r="A131" s="1606"/>
    </row>
    <row r="132" spans="1:1" s="1487" customFormat="1" x14ac:dyDescent="0.25">
      <c r="A132" s="1606"/>
    </row>
    <row r="133" spans="1:1" s="1487" customFormat="1" x14ac:dyDescent="0.25">
      <c r="A133" s="1606"/>
    </row>
    <row r="134" spans="1:1" s="1487" customFormat="1" x14ac:dyDescent="0.25">
      <c r="A134" s="1606"/>
    </row>
    <row r="135" spans="1:1" s="1487" customFormat="1" x14ac:dyDescent="0.25">
      <c r="A135" s="1606"/>
    </row>
    <row r="136" spans="1:1" s="1487" customFormat="1" x14ac:dyDescent="0.25">
      <c r="A136" s="1606"/>
    </row>
    <row r="137" spans="1:1" s="1487" customFormat="1" x14ac:dyDescent="0.25">
      <c r="A137" s="1606"/>
    </row>
    <row r="138" spans="1:1" s="1487" customFormat="1" x14ac:dyDescent="0.25">
      <c r="A138" s="1606"/>
    </row>
    <row r="139" spans="1:1" s="1487" customFormat="1" x14ac:dyDescent="0.25">
      <c r="A139" s="1606"/>
    </row>
    <row r="140" spans="1:1" s="1487" customFormat="1" x14ac:dyDescent="0.25">
      <c r="A140" s="1606"/>
    </row>
    <row r="141" spans="1:1" s="1487" customFormat="1" x14ac:dyDescent="0.25">
      <c r="A141" s="1606"/>
    </row>
    <row r="142" spans="1:1" s="1487" customFormat="1" x14ac:dyDescent="0.25">
      <c r="A142" s="1606"/>
    </row>
    <row r="143" spans="1:1" s="1487" customFormat="1" x14ac:dyDescent="0.25">
      <c r="A143" s="1606"/>
    </row>
    <row r="144" spans="1:1" s="1487" customFormat="1" x14ac:dyDescent="0.25">
      <c r="A144" s="1606"/>
    </row>
    <row r="145" spans="1:1" s="1487" customFormat="1" x14ac:dyDescent="0.25">
      <c r="A145" s="1606"/>
    </row>
    <row r="146" spans="1:1" s="1487" customFormat="1" x14ac:dyDescent="0.25">
      <c r="A146" s="1606"/>
    </row>
    <row r="147" spans="1:1" s="1487" customFormat="1" x14ac:dyDescent="0.25">
      <c r="A147" s="1606"/>
    </row>
    <row r="148" spans="1:1" s="1487" customFormat="1" x14ac:dyDescent="0.25">
      <c r="A148" s="1606"/>
    </row>
    <row r="149" spans="1:1" s="1487" customFormat="1" x14ac:dyDescent="0.25">
      <c r="A149" s="1606"/>
    </row>
    <row r="150" spans="1:1" s="1487" customFormat="1" x14ac:dyDescent="0.25">
      <c r="A150" s="1606"/>
    </row>
    <row r="151" spans="1:1" s="1487" customFormat="1" x14ac:dyDescent="0.25">
      <c r="A151" s="1606"/>
    </row>
    <row r="152" spans="1:1" s="1487" customFormat="1" x14ac:dyDescent="0.25">
      <c r="A152" s="1606"/>
    </row>
  </sheetData>
  <mergeCells count="1">
    <mergeCell ref="A1:L1"/>
  </mergeCells>
  <phoneticPr fontId="3" type="noConversion"/>
  <pageMargins left="0.19685039370078741" right="0.19685039370078741" top="0.74803149606299213" bottom="0.74803149606299213" header="0.31496062992125984" footer="0.31496062992125984"/>
  <pageSetup paperSize="9" scale="25" orientation="landscape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>
    <pageSetUpPr fitToPage="1"/>
  </sheetPr>
  <dimension ref="A1:I35"/>
  <sheetViews>
    <sheetView workbookViewId="0">
      <selection activeCell="D34" sqref="A1:F34"/>
    </sheetView>
  </sheetViews>
  <sheetFormatPr defaultColWidth="29.33203125" defaultRowHeight="12.6" x14ac:dyDescent="0.25"/>
  <cols>
    <col min="1" max="1" width="1.109375" style="25" customWidth="1"/>
    <col min="2" max="2" width="0.6640625" style="25" customWidth="1"/>
    <col min="3" max="3" width="42.5546875" style="25" customWidth="1"/>
    <col min="4" max="4" width="42" style="25" customWidth="1"/>
    <col min="5" max="5" width="0.33203125" style="25" customWidth="1"/>
    <col min="6" max="6" width="0.44140625" style="25" customWidth="1"/>
    <col min="7" max="7" width="13.44140625" style="25" customWidth="1"/>
    <col min="8" max="8" width="21.88671875" style="25" customWidth="1"/>
    <col min="9" max="9" width="22.109375" style="25" customWidth="1"/>
    <col min="10" max="16384" width="29.33203125" style="25"/>
  </cols>
  <sheetData>
    <row r="1" spans="1:9" ht="13.2" x14ac:dyDescent="0.25">
      <c r="A1" s="110"/>
      <c r="B1" s="110"/>
      <c r="C1" s="110"/>
      <c r="D1" s="110"/>
      <c r="E1" s="110"/>
      <c r="F1" s="110"/>
      <c r="G1" s="110"/>
      <c r="H1" s="110"/>
    </row>
    <row r="2" spans="1:9" ht="13.2" x14ac:dyDescent="0.25">
      <c r="A2" s="110"/>
      <c r="B2" s="110"/>
      <c r="C2" s="110"/>
      <c r="D2" s="110"/>
      <c r="E2" s="110"/>
      <c r="F2" s="110"/>
      <c r="G2" s="110"/>
      <c r="H2" s="110"/>
    </row>
    <row r="3" spans="1:9" ht="13.8" thickBot="1" x14ac:dyDescent="0.3">
      <c r="A3" s="110"/>
      <c r="B3" s="110"/>
      <c r="C3" s="110"/>
      <c r="D3" s="110"/>
      <c r="E3" s="110"/>
      <c r="F3" s="110"/>
      <c r="G3" s="110"/>
      <c r="H3" s="110"/>
    </row>
    <row r="4" spans="1:9" s="10" customFormat="1" ht="31.5" customHeight="1" thickBot="1" x14ac:dyDescent="0.4">
      <c r="A4" s="2544" t="s">
        <v>556</v>
      </c>
      <c r="B4" s="2545"/>
      <c r="C4" s="2545"/>
      <c r="D4" s="2545"/>
      <c r="E4" s="2545"/>
      <c r="F4" s="2546"/>
      <c r="G4" s="454"/>
      <c r="H4" s="111"/>
    </row>
    <row r="5" spans="1:9" s="10" customFormat="1" ht="3" customHeight="1" x14ac:dyDescent="0.35">
      <c r="A5" s="149"/>
      <c r="B5" s="111"/>
      <c r="C5" s="112"/>
      <c r="D5" s="113"/>
      <c r="E5" s="113"/>
      <c r="F5" s="150"/>
      <c r="G5" s="113"/>
      <c r="H5" s="111"/>
    </row>
    <row r="6" spans="1:9" ht="3" customHeight="1" x14ac:dyDescent="0.25">
      <c r="A6" s="151"/>
      <c r="B6" s="110"/>
      <c r="C6" s="114" t="s">
        <v>25</v>
      </c>
      <c r="D6" s="110"/>
      <c r="E6" s="110"/>
      <c r="F6" s="152"/>
      <c r="G6" s="115"/>
      <c r="H6" s="110"/>
    </row>
    <row r="7" spans="1:9" ht="3" customHeight="1" x14ac:dyDescent="0.25">
      <c r="A7" s="151"/>
      <c r="B7" s="110"/>
      <c r="C7" s="114"/>
      <c r="D7" s="115"/>
      <c r="E7" s="115"/>
      <c r="F7" s="152"/>
      <c r="G7" s="115"/>
      <c r="H7" s="110"/>
    </row>
    <row r="8" spans="1:9" ht="3" customHeight="1" x14ac:dyDescent="0.25">
      <c r="A8" s="151"/>
      <c r="B8" s="110"/>
      <c r="C8" s="115" t="s">
        <v>143</v>
      </c>
      <c r="F8" s="152"/>
      <c r="G8" s="115"/>
      <c r="H8" s="110"/>
    </row>
    <row r="9" spans="1:9" ht="3" customHeight="1" x14ac:dyDescent="0.25">
      <c r="A9" s="151"/>
      <c r="B9" s="110"/>
      <c r="C9" s="110"/>
      <c r="D9" s="116"/>
      <c r="E9" s="116"/>
      <c r="F9" s="152"/>
      <c r="G9" s="115"/>
      <c r="H9" s="110"/>
    </row>
    <row r="10" spans="1:9" ht="3" customHeight="1" x14ac:dyDescent="0.25">
      <c r="A10" s="151"/>
      <c r="B10" s="110"/>
      <c r="C10" s="110"/>
      <c r="D10" s="116"/>
      <c r="E10" s="116"/>
      <c r="F10" s="152"/>
      <c r="G10" s="115"/>
      <c r="H10" s="110"/>
    </row>
    <row r="11" spans="1:9" ht="28.5" customHeight="1" thickBot="1" x14ac:dyDescent="0.3">
      <c r="A11" s="151"/>
      <c r="B11" s="110"/>
      <c r="C11" s="110"/>
      <c r="D11" s="382" t="s">
        <v>360</v>
      </c>
      <c r="E11" s="383" t="s">
        <v>364</v>
      </c>
      <c r="F11" s="384"/>
      <c r="G11" s="455"/>
      <c r="H11" s="119"/>
    </row>
    <row r="12" spans="1:9" s="80" customFormat="1" ht="18" x14ac:dyDescent="0.35">
      <c r="A12" s="153"/>
      <c r="B12" s="117"/>
      <c r="C12" s="156" t="s">
        <v>222</v>
      </c>
      <c r="D12" s="209"/>
      <c r="E12" s="462"/>
      <c r="F12" s="463"/>
      <c r="G12" s="456"/>
      <c r="H12" s="117"/>
    </row>
    <row r="13" spans="1:9" ht="0.75" customHeight="1" thickBot="1" x14ac:dyDescent="0.35">
      <c r="A13" s="151"/>
      <c r="B13" s="110"/>
      <c r="C13" s="157"/>
      <c r="D13" s="210"/>
      <c r="E13" s="212"/>
      <c r="F13" s="464"/>
      <c r="G13" s="457"/>
      <c r="H13" s="111"/>
    </row>
    <row r="14" spans="1:9" ht="13.2" x14ac:dyDescent="0.25">
      <c r="A14" s="151"/>
      <c r="B14" s="110"/>
      <c r="C14" s="158" t="s">
        <v>223</v>
      </c>
      <c r="D14" s="208"/>
      <c r="E14" s="522">
        <f>SUM(D14)</f>
        <v>0</v>
      </c>
      <c r="F14" s="625">
        <v>318</v>
      </c>
      <c r="G14" s="173"/>
      <c r="H14" s="83"/>
      <c r="I14" s="83"/>
    </row>
    <row r="15" spans="1:9" ht="13.2" x14ac:dyDescent="0.25">
      <c r="A15" s="151"/>
      <c r="B15" s="110"/>
      <c r="C15" s="158" t="s">
        <v>157</v>
      </c>
      <c r="D15" s="208">
        <f>41092100+20983200+14700000+7350000</f>
        <v>84125300</v>
      </c>
      <c r="E15" s="522">
        <v>67525</v>
      </c>
      <c r="F15" s="626">
        <v>56389</v>
      </c>
      <c r="G15" s="173"/>
      <c r="H15" s="83"/>
      <c r="I15" s="83"/>
    </row>
    <row r="16" spans="1:9" ht="13.2" x14ac:dyDescent="0.25">
      <c r="A16" s="151"/>
      <c r="B16" s="110"/>
      <c r="C16" s="158" t="s">
        <v>158</v>
      </c>
      <c r="D16" s="208">
        <f>10194533+5324533</f>
        <v>15519066</v>
      </c>
      <c r="E16" s="522">
        <v>10800</v>
      </c>
      <c r="F16" s="626">
        <v>8383</v>
      </c>
      <c r="G16" s="173"/>
      <c r="H16" s="83"/>
      <c r="I16" s="83"/>
    </row>
    <row r="17" spans="1:9" ht="13.2" x14ac:dyDescent="0.25">
      <c r="A17" s="151"/>
      <c r="B17" s="110"/>
      <c r="C17" s="256" t="s">
        <v>159</v>
      </c>
      <c r="D17" s="257">
        <f>15504000+7021318</f>
        <v>22525318</v>
      </c>
      <c r="E17" s="522">
        <v>22361</v>
      </c>
      <c r="F17" s="626">
        <v>16355</v>
      </c>
      <c r="G17" s="173"/>
      <c r="H17" s="83"/>
      <c r="I17" s="83"/>
    </row>
    <row r="18" spans="1:9" ht="13.2" x14ac:dyDescent="0.25">
      <c r="A18" s="151"/>
      <c r="B18" s="110"/>
      <c r="C18" s="256" t="s">
        <v>479</v>
      </c>
      <c r="D18" s="257">
        <v>142215</v>
      </c>
      <c r="E18" s="522">
        <v>225</v>
      </c>
      <c r="F18" s="626"/>
      <c r="G18" s="173"/>
      <c r="H18" s="83"/>
      <c r="I18" s="83"/>
    </row>
    <row r="19" spans="1:9" ht="13.2" x14ac:dyDescent="0.25">
      <c r="A19" s="151"/>
      <c r="B19" s="110"/>
      <c r="C19" s="256" t="s">
        <v>395</v>
      </c>
      <c r="D19" s="257">
        <f>793400</f>
        <v>793400</v>
      </c>
      <c r="E19" s="522">
        <f t="shared" ref="E19:E23" si="0">SUM(D19)</f>
        <v>793400</v>
      </c>
      <c r="F19" s="626">
        <v>528</v>
      </c>
      <c r="G19" s="173"/>
      <c r="H19" s="83"/>
      <c r="I19" s="83"/>
    </row>
    <row r="20" spans="1:9" ht="13.2" x14ac:dyDescent="0.25">
      <c r="A20" s="151"/>
      <c r="B20" s="110"/>
      <c r="C20" s="256" t="s">
        <v>160</v>
      </c>
      <c r="D20" s="257">
        <v>6460190</v>
      </c>
      <c r="E20" s="522">
        <f t="shared" si="0"/>
        <v>6460190</v>
      </c>
      <c r="F20" s="626">
        <v>4940</v>
      </c>
      <c r="G20" s="466"/>
      <c r="H20" s="83"/>
      <c r="I20" s="83"/>
    </row>
    <row r="21" spans="1:9" ht="13.2" x14ac:dyDescent="0.25">
      <c r="A21" s="151"/>
      <c r="B21" s="110"/>
      <c r="C21" s="256" t="s">
        <v>474</v>
      </c>
      <c r="D21" s="1089"/>
      <c r="E21" s="940">
        <v>433</v>
      </c>
      <c r="F21" s="626"/>
      <c r="G21" s="466"/>
      <c r="H21" s="83"/>
      <c r="I21" s="83"/>
    </row>
    <row r="22" spans="1:9" ht="13.2" x14ac:dyDescent="0.25">
      <c r="A22" s="151"/>
      <c r="B22" s="110"/>
      <c r="C22" s="158" t="s">
        <v>382</v>
      </c>
      <c r="D22" s="458"/>
      <c r="E22" s="940">
        <f t="shared" si="0"/>
        <v>0</v>
      </c>
      <c r="F22" s="626">
        <v>4475</v>
      </c>
      <c r="G22" s="466"/>
      <c r="H22" s="83"/>
      <c r="I22" s="83"/>
    </row>
    <row r="23" spans="1:9" ht="13.8" thickBot="1" x14ac:dyDescent="0.3">
      <c r="A23" s="151"/>
      <c r="B23" s="110"/>
      <c r="C23" s="159" t="s">
        <v>450</v>
      </c>
      <c r="D23" s="759"/>
      <c r="E23" s="638">
        <f t="shared" si="0"/>
        <v>0</v>
      </c>
      <c r="F23" s="758"/>
      <c r="G23" s="466"/>
      <c r="H23" s="83"/>
      <c r="I23" s="83"/>
    </row>
    <row r="24" spans="1:9" ht="14.4" thickBot="1" x14ac:dyDescent="0.3">
      <c r="A24" s="151"/>
      <c r="B24" s="110"/>
      <c r="C24" s="154"/>
      <c r="D24" s="762">
        <f>SUM(D14:D23)</f>
        <v>129565489</v>
      </c>
      <c r="E24" s="762">
        <f>SUM(E14:E23)</f>
        <v>7354934</v>
      </c>
      <c r="F24" s="627"/>
      <c r="G24" s="466"/>
      <c r="H24" s="83"/>
      <c r="I24" s="83"/>
    </row>
    <row r="25" spans="1:9" ht="15.6" x14ac:dyDescent="0.3">
      <c r="A25" s="151"/>
      <c r="B25" s="110"/>
      <c r="C25" s="160" t="s">
        <v>402</v>
      </c>
      <c r="D25" s="211"/>
      <c r="E25" s="941">
        <f>SUM(E26)</f>
        <v>1350</v>
      </c>
      <c r="F25" s="628"/>
      <c r="G25" s="467"/>
      <c r="H25" s="118"/>
      <c r="I25" s="468"/>
    </row>
    <row r="26" spans="1:9" ht="14.4" thickBot="1" x14ac:dyDescent="0.3">
      <c r="A26" s="151"/>
      <c r="B26" s="110"/>
      <c r="C26" s="159" t="s">
        <v>524</v>
      </c>
      <c r="D26" s="459"/>
      <c r="E26" s="523">
        <v>1350</v>
      </c>
      <c r="F26" s="627">
        <v>1885</v>
      </c>
      <c r="G26" s="118"/>
      <c r="H26" s="118"/>
    </row>
    <row r="27" spans="1:9" ht="14.4" thickBot="1" x14ac:dyDescent="0.3">
      <c r="A27" s="151"/>
      <c r="B27" s="110"/>
      <c r="C27" s="460"/>
      <c r="D27" s="461"/>
      <c r="E27" s="524"/>
      <c r="F27" s="629"/>
      <c r="G27" s="118"/>
      <c r="H27" s="118"/>
    </row>
    <row r="28" spans="1:9" ht="15.6" x14ac:dyDescent="0.3">
      <c r="A28" s="151"/>
      <c r="B28" s="110"/>
      <c r="C28" s="639" t="s">
        <v>433</v>
      </c>
      <c r="D28" s="622"/>
      <c r="E28" s="635"/>
      <c r="F28" s="628"/>
      <c r="G28" s="118"/>
      <c r="H28" s="118"/>
    </row>
    <row r="29" spans="1:9" ht="14.4" thickBot="1" x14ac:dyDescent="0.3">
      <c r="A29" s="151"/>
      <c r="B29" s="110"/>
      <c r="C29" s="636"/>
      <c r="D29" s="637"/>
      <c r="E29" s="638"/>
      <c r="F29" s="627">
        <v>366</v>
      </c>
      <c r="G29" s="118"/>
      <c r="H29" s="118"/>
    </row>
    <row r="30" spans="1:9" ht="14.4" thickBot="1" x14ac:dyDescent="0.3">
      <c r="A30" s="151"/>
      <c r="B30" s="110"/>
      <c r="C30" s="632"/>
      <c r="D30" s="633"/>
      <c r="E30" s="634"/>
      <c r="F30" s="629"/>
      <c r="G30" s="118"/>
      <c r="H30" s="118"/>
    </row>
    <row r="31" spans="1:9" ht="15.6" x14ac:dyDescent="0.3">
      <c r="A31" s="151"/>
      <c r="B31" s="110"/>
      <c r="C31" s="620" t="s">
        <v>383</v>
      </c>
      <c r="D31" s="622"/>
      <c r="E31" s="621"/>
      <c r="F31" s="628"/>
      <c r="G31" s="118"/>
      <c r="H31" s="118"/>
    </row>
    <row r="32" spans="1:9" ht="16.2" thickBot="1" x14ac:dyDescent="0.35">
      <c r="A32" s="151"/>
      <c r="B32" s="110"/>
      <c r="C32" s="624"/>
      <c r="D32" s="623"/>
      <c r="E32" s="465"/>
      <c r="F32" s="627"/>
      <c r="G32" s="118"/>
      <c r="H32" s="118"/>
    </row>
    <row r="33" spans="1:8" ht="16.2" thickBot="1" x14ac:dyDescent="0.35">
      <c r="A33" s="151"/>
      <c r="B33" s="155"/>
      <c r="C33" s="163"/>
      <c r="D33" s="213"/>
      <c r="E33" s="213"/>
      <c r="F33" s="630"/>
      <c r="G33" s="457"/>
      <c r="H33" s="118"/>
    </row>
    <row r="34" spans="1:8" s="81" customFormat="1" ht="18.600000000000001" thickBot="1" x14ac:dyDescent="0.4">
      <c r="A34" s="161" t="s">
        <v>54</v>
      </c>
      <c r="B34" s="162"/>
      <c r="C34" s="460"/>
      <c r="D34" s="213">
        <f>SUM(D24)</f>
        <v>129565489</v>
      </c>
      <c r="E34" s="213">
        <f>SUM(E24+E26)</f>
        <v>7356284</v>
      </c>
      <c r="F34" s="631">
        <f>SUM(F14:F32)</f>
        <v>93639</v>
      </c>
      <c r="G34" s="1090"/>
      <c r="H34" s="115"/>
    </row>
    <row r="35" spans="1:8" ht="18.600000000000001" thickBot="1" x14ac:dyDescent="0.4">
      <c r="A35" s="110"/>
      <c r="B35" s="110"/>
      <c r="F35" s="640">
        <f>SUM(F34/E34)</f>
        <v>1.2729117037895765E-2</v>
      </c>
      <c r="G35" s="110"/>
      <c r="H35" s="120"/>
    </row>
  </sheetData>
  <mergeCells count="1">
    <mergeCell ref="A4:F4"/>
  </mergeCells>
  <phoneticPr fontId="3" type="noConversion"/>
  <pageMargins left="0.61" right="0.34" top="0.61" bottom="0.54" header="0.85" footer="0.47"/>
  <pageSetup paperSize="9" orientation="portrait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7">
    <pageSetUpPr fitToPage="1"/>
  </sheetPr>
  <dimension ref="A1:AQ948"/>
  <sheetViews>
    <sheetView topLeftCell="A57" workbookViewId="0">
      <selection activeCell="A68" sqref="A68:N132"/>
    </sheetView>
  </sheetViews>
  <sheetFormatPr defaultColWidth="9.109375" defaultRowHeight="12.6" x14ac:dyDescent="0.25"/>
  <cols>
    <col min="1" max="1" width="7.5546875" style="1203" customWidth="1"/>
    <col min="2" max="2" width="22.109375" style="6" customWidth="1"/>
    <col min="3" max="3" width="9.6640625" style="138" customWidth="1"/>
    <col min="4" max="4" width="11.88671875" style="138" bestFit="1" customWidth="1"/>
    <col min="5" max="5" width="10.88671875" style="138" customWidth="1"/>
    <col min="6" max="6" width="10" style="138" customWidth="1"/>
    <col min="7" max="7" width="11.5546875" style="138" customWidth="1"/>
    <col min="8" max="8" width="12.88671875" style="138" bestFit="1" customWidth="1"/>
    <col min="9" max="10" width="11" style="138" customWidth="1"/>
    <col min="11" max="11" width="11.6640625" style="138" customWidth="1"/>
    <col min="12" max="12" width="10.88671875" style="138" bestFit="1" customWidth="1"/>
    <col min="13" max="13" width="11.88671875" style="138" customWidth="1"/>
    <col min="14" max="14" width="12.6640625" style="138" customWidth="1"/>
    <col min="15" max="15" width="14.33203125" style="751" bestFit="1" customWidth="1"/>
    <col min="16" max="16" width="14.33203125" style="138" bestFit="1" customWidth="1"/>
    <col min="17" max="18" width="9.109375" style="138"/>
    <col min="19" max="16384" width="9.109375" style="6"/>
  </cols>
  <sheetData>
    <row r="1" spans="1:43" ht="15" customHeight="1" thickBot="1" x14ac:dyDescent="0.4">
      <c r="A1" s="2547" t="s">
        <v>557</v>
      </c>
      <c r="B1" s="2548"/>
      <c r="C1" s="2548"/>
      <c r="D1" s="2548"/>
      <c r="E1" s="2548"/>
      <c r="F1" s="2548"/>
      <c r="G1" s="2548"/>
      <c r="H1" s="2548"/>
      <c r="I1" s="2548"/>
      <c r="J1" s="2548"/>
      <c r="K1" s="2548"/>
      <c r="L1" s="2548"/>
      <c r="M1" s="2548"/>
      <c r="N1" s="2549"/>
    </row>
    <row r="2" spans="1:43" ht="3" hidden="1" customHeight="1" x14ac:dyDescent="0.25">
      <c r="A2" s="1196"/>
    </row>
    <row r="3" spans="1:43" ht="62.25" customHeight="1" thickBot="1" x14ac:dyDescent="0.3">
      <c r="A3" s="2366" t="s">
        <v>224</v>
      </c>
      <c r="B3" s="2367" t="s">
        <v>225</v>
      </c>
      <c r="C3" s="2368" t="s">
        <v>9</v>
      </c>
      <c r="D3" s="2369" t="s">
        <v>226</v>
      </c>
      <c r="E3" s="2369" t="s">
        <v>106</v>
      </c>
      <c r="F3" s="2369" t="s">
        <v>227</v>
      </c>
      <c r="G3" s="2369" t="s">
        <v>125</v>
      </c>
      <c r="H3" s="2369" t="s">
        <v>124</v>
      </c>
      <c r="I3" s="2369" t="s">
        <v>228</v>
      </c>
      <c r="J3" s="2369" t="s">
        <v>304</v>
      </c>
      <c r="K3" s="2369" t="s">
        <v>107</v>
      </c>
      <c r="L3" s="2369" t="s">
        <v>144</v>
      </c>
      <c r="M3" s="2369" t="s">
        <v>58</v>
      </c>
      <c r="N3" s="2370" t="s">
        <v>21</v>
      </c>
    </row>
    <row r="4" spans="1:43" ht="15" customHeight="1" x14ac:dyDescent="0.25">
      <c r="A4" s="1197"/>
      <c r="B4" s="766"/>
      <c r="C4" s="1857"/>
      <c r="D4" s="1857"/>
      <c r="E4" s="1857"/>
      <c r="F4" s="1857"/>
      <c r="G4" s="1857"/>
      <c r="H4" s="1857"/>
      <c r="I4" s="1857"/>
      <c r="J4" s="1857"/>
      <c r="K4" s="1857"/>
      <c r="L4" s="1857"/>
      <c r="M4" s="1857"/>
      <c r="N4" s="1858"/>
    </row>
    <row r="5" spans="1:43" s="94" customFormat="1" ht="15" customHeight="1" x14ac:dyDescent="0.3">
      <c r="A5" s="1198" t="s">
        <v>230</v>
      </c>
      <c r="B5" s="385" t="s">
        <v>2</v>
      </c>
      <c r="C5" s="1859"/>
      <c r="D5" s="1859"/>
      <c r="E5" s="1859"/>
      <c r="F5" s="1859"/>
      <c r="G5" s="1859"/>
      <c r="H5" s="1859"/>
      <c r="I5" s="1859"/>
      <c r="J5" s="1859"/>
      <c r="K5" s="1859"/>
      <c r="L5" s="1859"/>
      <c r="M5" s="1859"/>
      <c r="N5" s="1860"/>
      <c r="O5" s="353"/>
    </row>
    <row r="6" spans="1:43" s="739" customFormat="1" ht="15" customHeight="1" thickBot="1" x14ac:dyDescent="0.35">
      <c r="A6" s="365"/>
      <c r="B6" s="386" t="s">
        <v>356</v>
      </c>
      <c r="C6" s="1776">
        <v>27628000</v>
      </c>
      <c r="D6" s="1776">
        <f>6305000+1195000</f>
        <v>7500000</v>
      </c>
      <c r="E6" s="1776">
        <v>56460000</v>
      </c>
      <c r="F6" s="1776"/>
      <c r="G6" s="1776"/>
      <c r="H6" s="1776">
        <f>SUM('6.a.sz. melléklet'!H13)+'6.a.sz. melléklet'!H19+'6.a.sz. melléklet'!H25+'6.a.sz. melléklet'!H27</f>
        <v>3330000</v>
      </c>
      <c r="I6" s="1776">
        <f>SUM('6.b.sz.melléklet'!B15+'6.b.sz.melléklet'!B20)+'6.b.sz.melléklet'!B22+'6.b.sz.melléklet'!B23+'6.b.sz.melléklet'!B21</f>
        <v>18354270</v>
      </c>
      <c r="J6" s="1776">
        <f>SUM('6.b.sz.melléklet'!B39)</f>
        <v>0</v>
      </c>
      <c r="K6" s="1776">
        <f>'5. sz.melléklet'!C56-+'6. sz.melléklet'!C132-'6. sz.melléklet'!D132-'6. sz.melléklet'!E132-'6. sz.melléklet'!F132-'6. sz.melléklet'!G132-'6. sz.melléklet'!H132-'6. sz.melléklet'!I132-'6. sz.melléklet'!J132-'6. sz.melléklet'!L132-'6. sz.melléklet'!M132</f>
        <v>3461428</v>
      </c>
      <c r="L6" s="1776"/>
      <c r="M6" s="1776"/>
      <c r="N6" s="1861">
        <f t="shared" ref="N6:N67" si="0">SUM(C6:M6)</f>
        <v>116733698</v>
      </c>
      <c r="O6" s="353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</row>
    <row r="7" spans="1:43" s="94" customFormat="1" ht="0.15" customHeight="1" thickBot="1" x14ac:dyDescent="0.35">
      <c r="A7" s="1166"/>
      <c r="B7" s="1167" t="s">
        <v>357</v>
      </c>
      <c r="C7" s="1862">
        <f>SUM(C6)</f>
        <v>27628000</v>
      </c>
      <c r="D7" s="1862">
        <f t="shared" ref="D7:I7" si="1">SUM(D6)</f>
        <v>7500000</v>
      </c>
      <c r="E7" s="1862">
        <f>24302+680+1778</f>
        <v>26760</v>
      </c>
      <c r="F7" s="1862"/>
      <c r="G7" s="1862"/>
      <c r="H7" s="1862"/>
      <c r="I7" s="1862">
        <f t="shared" si="1"/>
        <v>18354270</v>
      </c>
      <c r="J7" s="1862">
        <v>22764</v>
      </c>
      <c r="K7" s="1862">
        <v>42432</v>
      </c>
      <c r="L7" s="1862">
        <v>20400</v>
      </c>
      <c r="M7" s="1862"/>
      <c r="N7" s="1863">
        <f t="shared" si="0"/>
        <v>53594626</v>
      </c>
      <c r="O7" s="353"/>
    </row>
    <row r="8" spans="1:43" s="2069" customFormat="1" ht="0.15" customHeight="1" x14ac:dyDescent="0.3">
      <c r="A8" s="2371"/>
      <c r="B8" s="2372" t="s">
        <v>355</v>
      </c>
      <c r="C8" s="2373"/>
      <c r="D8" s="2373"/>
      <c r="E8" s="2373"/>
      <c r="F8" s="2373"/>
      <c r="G8" s="2373"/>
      <c r="H8" s="2373"/>
      <c r="I8" s="2373"/>
      <c r="J8" s="2373"/>
      <c r="K8" s="2373"/>
      <c r="L8" s="2373"/>
      <c r="M8" s="2373"/>
      <c r="N8" s="2374">
        <f t="shared" si="0"/>
        <v>0</v>
      </c>
      <c r="O8" s="2068"/>
    </row>
    <row r="9" spans="1:43" s="94" customFormat="1" ht="15" customHeight="1" x14ac:dyDescent="0.3">
      <c r="A9" s="1198" t="s">
        <v>241</v>
      </c>
      <c r="B9" s="385" t="s">
        <v>248</v>
      </c>
      <c r="C9" s="1859"/>
      <c r="D9" s="1859"/>
      <c r="E9" s="1859"/>
      <c r="F9" s="1859"/>
      <c r="G9" s="1859"/>
      <c r="H9" s="1859"/>
      <c r="I9" s="1859"/>
      <c r="J9" s="1859"/>
      <c r="K9" s="1859"/>
      <c r="L9" s="1859"/>
      <c r="M9" s="1859"/>
      <c r="N9" s="1860"/>
      <c r="O9" s="353"/>
    </row>
    <row r="10" spans="1:43" s="739" customFormat="1" ht="15" customHeight="1" thickBot="1" x14ac:dyDescent="0.35">
      <c r="A10" s="365"/>
      <c r="B10" s="386" t="s">
        <v>356</v>
      </c>
      <c r="C10" s="1776"/>
      <c r="D10" s="1776"/>
      <c r="E10" s="1776">
        <f>22561000+146000+1651000</f>
        <v>24358000</v>
      </c>
      <c r="F10" s="1776"/>
      <c r="G10" s="1776">
        <f>SUM('6.a.sz. melléklet'!D45)</f>
        <v>294039503</v>
      </c>
      <c r="H10" s="1776">
        <f>'6.a.sz. melléklet'!H45-'6. sz.melléklet'!H6-'6. sz.melléklet'!H65-'6. sz.melléklet'!H97-'6.a.sz. melléklet'!H36</f>
        <v>444908388</v>
      </c>
      <c r="I10" s="1776"/>
      <c r="J10" s="1776"/>
      <c r="K10" s="1776"/>
      <c r="L10" s="1776">
        <f>SUM('20.sz. melléklet'!F8)</f>
        <v>77670856</v>
      </c>
      <c r="M10" s="1776"/>
      <c r="N10" s="1861">
        <f t="shared" si="0"/>
        <v>840976747</v>
      </c>
      <c r="O10" s="353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</row>
    <row r="11" spans="1:43" s="94" customFormat="1" ht="0.15" customHeight="1" thickBot="1" x14ac:dyDescent="0.35">
      <c r="A11" s="1166"/>
      <c r="B11" s="1167" t="s">
        <v>357</v>
      </c>
      <c r="C11" s="1862">
        <f>SUM(C10)</f>
        <v>0</v>
      </c>
      <c r="D11" s="1862">
        <f t="shared" ref="D11" si="2">SUM(D10)</f>
        <v>0</v>
      </c>
      <c r="E11" s="1862">
        <f>SUM(E10)+318+241+2273+330+494</f>
        <v>24361656</v>
      </c>
      <c r="F11" s="1862"/>
      <c r="G11" s="1862">
        <f>SUM(G10)+851-2235+183</f>
        <v>294038302</v>
      </c>
      <c r="H11" s="1862">
        <f>SUM(H10)+679+1581+3279+2263</f>
        <v>444916190</v>
      </c>
      <c r="I11" s="1862"/>
      <c r="J11" s="1862"/>
      <c r="K11" s="1862"/>
      <c r="L11" s="1862"/>
      <c r="M11" s="1862"/>
      <c r="N11" s="1863">
        <f t="shared" si="0"/>
        <v>763316148</v>
      </c>
      <c r="O11" s="353"/>
    </row>
    <row r="12" spans="1:43" s="2069" customFormat="1" ht="0.15" customHeight="1" x14ac:dyDescent="0.3">
      <c r="A12" s="2371"/>
      <c r="B12" s="2372" t="s">
        <v>355</v>
      </c>
      <c r="C12" s="2373"/>
      <c r="D12" s="2373"/>
      <c r="E12" s="2373"/>
      <c r="F12" s="2373"/>
      <c r="G12" s="2373"/>
      <c r="H12" s="2373"/>
      <c r="I12" s="2373"/>
      <c r="J12" s="2373"/>
      <c r="K12" s="2373"/>
      <c r="L12" s="2373"/>
      <c r="M12" s="2373"/>
      <c r="N12" s="2374">
        <f t="shared" si="0"/>
        <v>0</v>
      </c>
      <c r="O12" s="2068"/>
    </row>
    <row r="13" spans="1:43" s="94" customFormat="1" ht="22.5" customHeight="1" x14ac:dyDescent="0.3">
      <c r="A13" s="1198" t="s">
        <v>294</v>
      </c>
      <c r="B13" s="752" t="s">
        <v>403</v>
      </c>
      <c r="C13" s="1859"/>
      <c r="D13" s="1859"/>
      <c r="E13" s="1859"/>
      <c r="F13" s="1859"/>
      <c r="G13" s="1859"/>
      <c r="H13" s="1859"/>
      <c r="I13" s="1859"/>
      <c r="J13" s="1859"/>
      <c r="K13" s="1859"/>
      <c r="L13" s="1859"/>
      <c r="M13" s="1859"/>
      <c r="N13" s="1860"/>
      <c r="O13" s="353"/>
    </row>
    <row r="14" spans="1:43" s="739" customFormat="1" ht="15" customHeight="1" thickBot="1" x14ac:dyDescent="0.35">
      <c r="A14" s="798"/>
      <c r="B14" s="812" t="s">
        <v>356</v>
      </c>
      <c r="C14" s="1865"/>
      <c r="D14" s="1865"/>
      <c r="E14" s="1865">
        <v>2571210</v>
      </c>
      <c r="F14" s="1865"/>
      <c r="G14" s="1865"/>
      <c r="H14" s="1865"/>
      <c r="I14" s="1865"/>
      <c r="J14" s="1865"/>
      <c r="K14" s="1865"/>
      <c r="L14" s="1865"/>
      <c r="M14" s="1865">
        <v>1233365</v>
      </c>
      <c r="N14" s="1866">
        <f>SUM(C14:M14)</f>
        <v>3804575</v>
      </c>
      <c r="O14" s="353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</row>
    <row r="15" spans="1:43" s="94" customFormat="1" ht="0.15" customHeight="1" thickBot="1" x14ac:dyDescent="0.35">
      <c r="A15" s="365"/>
      <c r="B15" s="386" t="s">
        <v>357</v>
      </c>
      <c r="C15" s="1776"/>
      <c r="D15" s="1776"/>
      <c r="E15" s="1776"/>
      <c r="F15" s="1776"/>
      <c r="G15" s="1776"/>
      <c r="H15" s="1776"/>
      <c r="I15" s="1776">
        <v>3601</v>
      </c>
      <c r="J15" s="1776"/>
      <c r="K15" s="1776"/>
      <c r="L15" s="1776"/>
      <c r="M15" s="1776">
        <f>SUM(M14)</f>
        <v>1233365</v>
      </c>
      <c r="N15" s="1861">
        <f>SUM(H15:M15)</f>
        <v>1236966</v>
      </c>
      <c r="O15" s="353"/>
    </row>
    <row r="16" spans="1:43" s="94" customFormat="1" ht="15" customHeight="1" x14ac:dyDescent="0.3">
      <c r="A16" s="1199" t="s">
        <v>491</v>
      </c>
      <c r="B16" s="1161" t="s">
        <v>492</v>
      </c>
      <c r="C16" s="1774"/>
      <c r="D16" s="1774"/>
      <c r="E16" s="1774"/>
      <c r="F16" s="1774"/>
      <c r="G16" s="1774"/>
      <c r="H16" s="1774"/>
      <c r="I16" s="1774"/>
      <c r="J16" s="1774"/>
      <c r="K16" s="1774"/>
      <c r="L16" s="1774"/>
      <c r="M16" s="1774"/>
      <c r="N16" s="1775"/>
      <c r="O16" s="353"/>
    </row>
    <row r="17" spans="1:43" s="94" customFormat="1" ht="15" customHeight="1" thickBot="1" x14ac:dyDescent="0.35">
      <c r="A17" s="365"/>
      <c r="B17" s="386" t="s">
        <v>356</v>
      </c>
      <c r="C17" s="1776"/>
      <c r="D17" s="1776"/>
      <c r="E17" s="1776"/>
      <c r="F17" s="1776"/>
      <c r="G17" s="1776"/>
      <c r="H17" s="1776"/>
      <c r="I17" s="1776">
        <f>'6.b.sz.melléklet'!B41</f>
        <v>29645490</v>
      </c>
      <c r="J17" s="1776"/>
      <c r="K17" s="1776"/>
      <c r="L17" s="1776"/>
      <c r="M17" s="1776"/>
      <c r="N17" s="1777">
        <f>SUM(C17:M17)</f>
        <v>29645490</v>
      </c>
      <c r="O17" s="353"/>
    </row>
    <row r="18" spans="1:43" s="94" customFormat="1" ht="0.15" customHeight="1" thickBot="1" x14ac:dyDescent="0.35">
      <c r="A18" s="1166"/>
      <c r="B18" s="1167" t="s">
        <v>357</v>
      </c>
      <c r="C18" s="1862"/>
      <c r="D18" s="1862"/>
      <c r="E18" s="1862"/>
      <c r="F18" s="1862"/>
      <c r="G18" s="1862"/>
      <c r="H18" s="1862"/>
      <c r="I18" s="1862"/>
      <c r="J18" s="1862"/>
      <c r="K18" s="1862"/>
      <c r="L18" s="1862"/>
      <c r="M18" s="1862"/>
      <c r="N18" s="1867"/>
      <c r="O18" s="353"/>
    </row>
    <row r="19" spans="1:43" s="94" customFormat="1" ht="0.15" customHeight="1" x14ac:dyDescent="0.3">
      <c r="A19" s="1160"/>
      <c r="B19" s="2372" t="s">
        <v>355</v>
      </c>
      <c r="C19" s="1868"/>
      <c r="D19" s="1868"/>
      <c r="E19" s="1868"/>
      <c r="F19" s="1868"/>
      <c r="G19" s="1868"/>
      <c r="H19" s="1868"/>
      <c r="I19" s="1868"/>
      <c r="J19" s="1868"/>
      <c r="K19" s="1868"/>
      <c r="L19" s="1868"/>
      <c r="M19" s="1868"/>
      <c r="N19" s="1869"/>
      <c r="O19" s="353"/>
    </row>
    <row r="20" spans="1:43" s="94" customFormat="1" ht="15" customHeight="1" x14ac:dyDescent="0.3">
      <c r="A20" s="1198" t="s">
        <v>284</v>
      </c>
      <c r="B20" s="385" t="s">
        <v>285</v>
      </c>
      <c r="C20" s="1859"/>
      <c r="D20" s="1859"/>
      <c r="E20" s="1859"/>
      <c r="F20" s="1859"/>
      <c r="G20" s="1859"/>
      <c r="H20" s="1859"/>
      <c r="I20" s="1859"/>
      <c r="J20" s="1859"/>
      <c r="K20" s="1859"/>
      <c r="L20" s="1859"/>
      <c r="M20" s="1859"/>
      <c r="N20" s="1860"/>
      <c r="O20" s="353"/>
    </row>
    <row r="21" spans="1:43" s="739" customFormat="1" ht="15" customHeight="1" thickBot="1" x14ac:dyDescent="0.35">
      <c r="A21" s="365"/>
      <c r="B21" s="386" t="s">
        <v>356</v>
      </c>
      <c r="C21" s="1776"/>
      <c r="D21" s="1776"/>
      <c r="E21" s="1776"/>
      <c r="F21" s="1776"/>
      <c r="G21" s="1776"/>
      <c r="H21" s="1776"/>
      <c r="I21" s="1776"/>
      <c r="J21" s="1776"/>
      <c r="K21" s="1776"/>
      <c r="L21" s="1776"/>
      <c r="M21" s="1776">
        <f>'13.sz.melléklet'!E34+'14.sz.melléklet'!E30+'15.sz.melléklet'!D26+'16.sz. melléklet'!D82</f>
        <v>451463000</v>
      </c>
      <c r="N21" s="1861">
        <f t="shared" si="0"/>
        <v>451463000</v>
      </c>
      <c r="O21" s="353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</row>
    <row r="22" spans="1:43" s="94" customFormat="1" ht="0.15" customHeight="1" thickBot="1" x14ac:dyDescent="0.35">
      <c r="A22" s="1166"/>
      <c r="B22" s="1167" t="s">
        <v>357</v>
      </c>
      <c r="C22" s="1862"/>
      <c r="D22" s="1862"/>
      <c r="E22" s="1862"/>
      <c r="F22" s="1862"/>
      <c r="G22" s="1862"/>
      <c r="H22" s="1862"/>
      <c r="I22" s="1862"/>
      <c r="J22" s="1862"/>
      <c r="K22" s="1862"/>
      <c r="L22" s="1862"/>
      <c r="M22" s="1862">
        <f>SUM(M21)+8086-184+247+433+905-1-800+403</f>
        <v>451472089</v>
      </c>
      <c r="N22" s="1863">
        <f t="shared" si="0"/>
        <v>451472089</v>
      </c>
      <c r="O22" s="353"/>
    </row>
    <row r="23" spans="1:43" s="2069" customFormat="1" ht="0.15" customHeight="1" x14ac:dyDescent="0.3">
      <c r="A23" s="2371"/>
      <c r="B23" s="2372" t="s">
        <v>355</v>
      </c>
      <c r="C23" s="2373"/>
      <c r="D23" s="2373"/>
      <c r="E23" s="2373"/>
      <c r="F23" s="2373"/>
      <c r="G23" s="2373"/>
      <c r="H23" s="2373"/>
      <c r="I23" s="2373"/>
      <c r="J23" s="2373"/>
      <c r="K23" s="2373"/>
      <c r="L23" s="2373"/>
      <c r="M23" s="2373"/>
      <c r="N23" s="2374">
        <f t="shared" si="0"/>
        <v>0</v>
      </c>
      <c r="O23" s="2068"/>
    </row>
    <row r="24" spans="1:43" s="94" customFormat="1" ht="15" customHeight="1" x14ac:dyDescent="0.3">
      <c r="A24" s="1198" t="s">
        <v>249</v>
      </c>
      <c r="B24" s="385" t="s">
        <v>250</v>
      </c>
      <c r="C24" s="1859"/>
      <c r="D24" s="1859"/>
      <c r="E24" s="1859"/>
      <c r="F24" s="1859"/>
      <c r="G24" s="1859"/>
      <c r="H24" s="1859"/>
      <c r="I24" s="1859"/>
      <c r="J24" s="1859"/>
      <c r="K24" s="1859"/>
      <c r="L24" s="1859"/>
      <c r="M24" s="1859"/>
      <c r="N24" s="1860"/>
      <c r="O24" s="353"/>
    </row>
    <row r="25" spans="1:43" s="739" customFormat="1" ht="15" customHeight="1" thickBot="1" x14ac:dyDescent="0.35">
      <c r="A25" s="365"/>
      <c r="B25" s="386" t="s">
        <v>356</v>
      </c>
      <c r="C25" s="1776"/>
      <c r="D25" s="1776"/>
      <c r="E25" s="1776"/>
      <c r="F25" s="1776"/>
      <c r="G25" s="1776"/>
      <c r="H25" s="1776"/>
      <c r="I25" s="1776">
        <f>SUM('6.b.sz.melléklet'!B26+'6.b.sz.melléklet'!B27)</f>
        <v>516000</v>
      </c>
      <c r="J25" s="1776"/>
      <c r="K25" s="1776"/>
      <c r="L25" s="1776"/>
      <c r="M25" s="1776"/>
      <c r="N25" s="1861">
        <f t="shared" si="0"/>
        <v>516000</v>
      </c>
      <c r="O25" s="353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</row>
    <row r="26" spans="1:43" s="94" customFormat="1" ht="0.15" customHeight="1" thickBot="1" x14ac:dyDescent="0.35">
      <c r="A26" s="1166"/>
      <c r="B26" s="1167" t="s">
        <v>357</v>
      </c>
      <c r="C26" s="1862"/>
      <c r="D26" s="1862"/>
      <c r="E26" s="1862"/>
      <c r="F26" s="1862"/>
      <c r="G26" s="1862"/>
      <c r="H26" s="1862"/>
      <c r="I26" s="1862"/>
      <c r="J26" s="1862"/>
      <c r="K26" s="1862"/>
      <c r="L26" s="1862"/>
      <c r="M26" s="1862"/>
      <c r="N26" s="1863">
        <f t="shared" si="0"/>
        <v>0</v>
      </c>
      <c r="O26" s="353"/>
    </row>
    <row r="27" spans="1:43" s="2069" customFormat="1" ht="0.15" customHeight="1" x14ac:dyDescent="0.3">
      <c r="A27" s="2371"/>
      <c r="B27" s="2372" t="s">
        <v>355</v>
      </c>
      <c r="C27" s="2373"/>
      <c r="D27" s="2373"/>
      <c r="E27" s="2373"/>
      <c r="F27" s="2373"/>
      <c r="G27" s="2373"/>
      <c r="H27" s="2373"/>
      <c r="I27" s="2373"/>
      <c r="J27" s="2373"/>
      <c r="K27" s="2373"/>
      <c r="L27" s="2373"/>
      <c r="M27" s="2373"/>
      <c r="N27" s="2374">
        <f t="shared" si="0"/>
        <v>0</v>
      </c>
      <c r="O27" s="2068"/>
    </row>
    <row r="28" spans="1:43" s="94" customFormat="1" ht="15" customHeight="1" x14ac:dyDescent="0.3">
      <c r="A28" s="1198" t="s">
        <v>251</v>
      </c>
      <c r="B28" s="385" t="s">
        <v>252</v>
      </c>
      <c r="C28" s="1859"/>
      <c r="D28" s="1859"/>
      <c r="E28" s="1859"/>
      <c r="F28" s="1859"/>
      <c r="G28" s="1859"/>
      <c r="H28" s="1859"/>
      <c r="I28" s="1859"/>
      <c r="J28" s="1859"/>
      <c r="K28" s="1859"/>
      <c r="L28" s="1859"/>
      <c r="M28" s="1859"/>
      <c r="N28" s="1860"/>
      <c r="O28" s="353"/>
    </row>
    <row r="29" spans="1:43" s="739" customFormat="1" ht="15" customHeight="1" thickBot="1" x14ac:dyDescent="0.35">
      <c r="A29" s="365"/>
      <c r="B29" s="386" t="s">
        <v>356</v>
      </c>
      <c r="C29" s="1776">
        <v>10215000</v>
      </c>
      <c r="D29" s="1776">
        <f>2085000+153000</f>
        <v>2238000</v>
      </c>
      <c r="E29" s="1776">
        <v>6822000</v>
      </c>
      <c r="F29" s="1776"/>
      <c r="G29" s="1776"/>
      <c r="H29" s="1776"/>
      <c r="I29" s="1776"/>
      <c r="J29" s="1776"/>
      <c r="K29" s="1776"/>
      <c r="L29" s="1776"/>
      <c r="M29" s="1776"/>
      <c r="N29" s="1861">
        <f t="shared" si="0"/>
        <v>19275000</v>
      </c>
      <c r="O29" s="353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</row>
    <row r="30" spans="1:43" s="94" customFormat="1" ht="0.15" customHeight="1" thickBot="1" x14ac:dyDescent="0.35">
      <c r="A30" s="1166"/>
      <c r="B30" s="1167" t="s">
        <v>357</v>
      </c>
      <c r="C30" s="1862">
        <f>SUM(C29)+55+27</f>
        <v>10215082</v>
      </c>
      <c r="D30" s="1862">
        <f>SUM(D29)+15+8</f>
        <v>2238023</v>
      </c>
      <c r="E30" s="1862">
        <f t="shared" ref="E30" si="3">SUM(E29)</f>
        <v>6822000</v>
      </c>
      <c r="F30" s="1862"/>
      <c r="G30" s="1862"/>
      <c r="H30" s="1862"/>
      <c r="I30" s="1862"/>
      <c r="J30" s="1862"/>
      <c r="K30" s="1862"/>
      <c r="L30" s="1862"/>
      <c r="M30" s="1862"/>
      <c r="N30" s="1863">
        <f t="shared" si="0"/>
        <v>19275105</v>
      </c>
      <c r="O30" s="353"/>
    </row>
    <row r="31" spans="1:43" s="2069" customFormat="1" ht="0.15" customHeight="1" x14ac:dyDescent="0.3">
      <c r="A31" s="2371"/>
      <c r="B31" s="2372" t="s">
        <v>355</v>
      </c>
      <c r="C31" s="2373"/>
      <c r="D31" s="2373"/>
      <c r="E31" s="2373"/>
      <c r="F31" s="2373"/>
      <c r="G31" s="2373"/>
      <c r="H31" s="2373"/>
      <c r="I31" s="2373"/>
      <c r="J31" s="2373"/>
      <c r="K31" s="2373"/>
      <c r="L31" s="2373"/>
      <c r="M31" s="2373"/>
      <c r="N31" s="2374">
        <f t="shared" si="0"/>
        <v>0</v>
      </c>
      <c r="O31" s="2068"/>
    </row>
    <row r="32" spans="1:43" s="94" customFormat="1" ht="15" customHeight="1" x14ac:dyDescent="0.3">
      <c r="A32" s="1198" t="s">
        <v>274</v>
      </c>
      <c r="B32" s="385" t="s">
        <v>275</v>
      </c>
      <c r="C32" s="1859"/>
      <c r="D32" s="1859"/>
      <c r="E32" s="1859"/>
      <c r="F32" s="1859"/>
      <c r="G32" s="1859"/>
      <c r="H32" s="1859"/>
      <c r="I32" s="1859"/>
      <c r="J32" s="1859"/>
      <c r="K32" s="1859"/>
      <c r="L32" s="1859"/>
      <c r="M32" s="1859"/>
      <c r="N32" s="1860"/>
      <c r="O32" s="353"/>
    </row>
    <row r="33" spans="1:43" s="739" customFormat="1" ht="15" customHeight="1" thickBot="1" x14ac:dyDescent="0.35">
      <c r="A33" s="365"/>
      <c r="B33" s="386" t="s">
        <v>356</v>
      </c>
      <c r="C33" s="1776"/>
      <c r="D33" s="1776"/>
      <c r="E33" s="1776">
        <v>4572000</v>
      </c>
      <c r="F33" s="1776"/>
      <c r="G33" s="1776"/>
      <c r="H33" s="1776"/>
      <c r="I33" s="1776"/>
      <c r="J33" s="1776"/>
      <c r="K33" s="1776"/>
      <c r="L33" s="1776"/>
      <c r="M33" s="1776"/>
      <c r="N33" s="1861">
        <f t="shared" si="0"/>
        <v>4572000</v>
      </c>
      <c r="O33" s="353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</row>
    <row r="34" spans="1:43" s="94" customFormat="1" ht="0.15" customHeight="1" thickBot="1" x14ac:dyDescent="0.35">
      <c r="A34" s="1166"/>
      <c r="B34" s="1167" t="s">
        <v>357</v>
      </c>
      <c r="C34" s="1862"/>
      <c r="D34" s="1862"/>
      <c r="E34" s="1862">
        <f>SUM(E33)</f>
        <v>4572000</v>
      </c>
      <c r="F34" s="1862"/>
      <c r="G34" s="1862"/>
      <c r="H34" s="1862"/>
      <c r="I34" s="1862"/>
      <c r="J34" s="1862"/>
      <c r="K34" s="1862"/>
      <c r="L34" s="1862"/>
      <c r="M34" s="1862"/>
      <c r="N34" s="1863">
        <f t="shared" si="0"/>
        <v>4572000</v>
      </c>
      <c r="O34" s="353"/>
    </row>
    <row r="35" spans="1:43" s="2069" customFormat="1" ht="0.15" customHeight="1" x14ac:dyDescent="0.3">
      <c r="A35" s="2371"/>
      <c r="B35" s="2372" t="s">
        <v>355</v>
      </c>
      <c r="C35" s="2373"/>
      <c r="D35" s="2373"/>
      <c r="E35" s="2373"/>
      <c r="F35" s="2373"/>
      <c r="G35" s="2373"/>
      <c r="H35" s="2373"/>
      <c r="I35" s="2373"/>
      <c r="J35" s="2373"/>
      <c r="K35" s="2373"/>
      <c r="L35" s="2373"/>
      <c r="M35" s="2373"/>
      <c r="N35" s="2374">
        <f t="shared" si="0"/>
        <v>0</v>
      </c>
      <c r="O35" s="2068"/>
    </row>
    <row r="36" spans="1:43" s="94" customFormat="1" ht="15" customHeight="1" x14ac:dyDescent="0.3">
      <c r="A36" s="700" t="s">
        <v>253</v>
      </c>
      <c r="B36" s="752" t="s">
        <v>254</v>
      </c>
      <c r="C36" s="1870"/>
      <c r="D36" s="1870"/>
      <c r="E36" s="1870"/>
      <c r="F36" s="1870"/>
      <c r="G36" s="1870"/>
      <c r="H36" s="1870"/>
      <c r="I36" s="1871"/>
      <c r="J36" s="1871"/>
      <c r="K36" s="1871"/>
      <c r="L36" s="1871"/>
      <c r="M36" s="1871"/>
      <c r="N36" s="1860"/>
      <c r="O36" s="353"/>
    </row>
    <row r="37" spans="1:43" s="739" customFormat="1" ht="15" customHeight="1" thickBot="1" x14ac:dyDescent="0.35">
      <c r="A37" s="352"/>
      <c r="B37" s="386" t="s">
        <v>356</v>
      </c>
      <c r="C37" s="1872">
        <v>480000</v>
      </c>
      <c r="D37" s="1872">
        <f>95000</f>
        <v>95000</v>
      </c>
      <c r="E37" s="1872">
        <v>1524000</v>
      </c>
      <c r="F37" s="1872"/>
      <c r="G37" s="1872"/>
      <c r="H37" s="1872"/>
      <c r="I37" s="1873"/>
      <c r="J37" s="1873"/>
      <c r="K37" s="1873"/>
      <c r="L37" s="1873"/>
      <c r="M37" s="1873"/>
      <c r="N37" s="1861">
        <f t="shared" si="0"/>
        <v>2099000</v>
      </c>
      <c r="O37" s="353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</row>
    <row r="38" spans="1:43" s="94" customFormat="1" ht="0.15" customHeight="1" thickBot="1" x14ac:dyDescent="0.35">
      <c r="A38" s="1168"/>
      <c r="B38" s="1167" t="s">
        <v>357</v>
      </c>
      <c r="C38" s="1874">
        <f>SUM(C37)</f>
        <v>480000</v>
      </c>
      <c r="D38" s="1874">
        <f t="shared" ref="D38:E38" si="4">SUM(D37)</f>
        <v>95000</v>
      </c>
      <c r="E38" s="1874">
        <f t="shared" si="4"/>
        <v>1524000</v>
      </c>
      <c r="F38" s="1874"/>
      <c r="G38" s="1874"/>
      <c r="H38" s="1874"/>
      <c r="I38" s="1875"/>
      <c r="J38" s="1875"/>
      <c r="K38" s="1875"/>
      <c r="L38" s="1875"/>
      <c r="M38" s="1875"/>
      <c r="N38" s="1863">
        <f t="shared" si="0"/>
        <v>2099000</v>
      </c>
      <c r="O38" s="353"/>
    </row>
    <row r="39" spans="1:43" s="2069" customFormat="1" ht="0.15" customHeight="1" x14ac:dyDescent="0.3">
      <c r="A39" s="2375"/>
      <c r="B39" s="2372" t="s">
        <v>355</v>
      </c>
      <c r="C39" s="2376"/>
      <c r="D39" s="2376"/>
      <c r="E39" s="2376"/>
      <c r="F39" s="2376"/>
      <c r="G39" s="2376"/>
      <c r="H39" s="2376"/>
      <c r="I39" s="2377"/>
      <c r="J39" s="2377"/>
      <c r="K39" s="2377"/>
      <c r="L39" s="2377"/>
      <c r="M39" s="2377"/>
      <c r="N39" s="2374">
        <f t="shared" si="0"/>
        <v>0</v>
      </c>
      <c r="O39" s="2068"/>
    </row>
    <row r="40" spans="1:43" s="94" customFormat="1" ht="27.6" x14ac:dyDescent="0.3">
      <c r="A40" s="700" t="s">
        <v>255</v>
      </c>
      <c r="B40" s="752" t="s">
        <v>164</v>
      </c>
      <c r="C40" s="1870"/>
      <c r="D40" s="1870"/>
      <c r="E40" s="1870"/>
      <c r="F40" s="1870"/>
      <c r="G40" s="1870"/>
      <c r="H40" s="1870"/>
      <c r="I40" s="1871"/>
      <c r="J40" s="1871"/>
      <c r="K40" s="1871"/>
      <c r="L40" s="1871"/>
      <c r="M40" s="1871"/>
      <c r="N40" s="1860"/>
      <c r="O40" s="353"/>
    </row>
    <row r="41" spans="1:43" s="739" customFormat="1" ht="15" customHeight="1" thickBot="1" x14ac:dyDescent="0.35">
      <c r="A41" s="352"/>
      <c r="B41" s="386" t="s">
        <v>356</v>
      </c>
      <c r="C41" s="1872"/>
      <c r="D41" s="1872"/>
      <c r="E41" s="1872">
        <v>9615000</v>
      </c>
      <c r="F41" s="1872"/>
      <c r="G41" s="1872"/>
      <c r="H41" s="1872"/>
      <c r="I41" s="1873"/>
      <c r="J41" s="1873"/>
      <c r="K41" s="1873"/>
      <c r="L41" s="1873"/>
      <c r="M41" s="1873"/>
      <c r="N41" s="1861">
        <f t="shared" si="0"/>
        <v>9615000</v>
      </c>
      <c r="O41" s="353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</row>
    <row r="42" spans="1:43" s="94" customFormat="1" ht="0.15" customHeight="1" thickBot="1" x14ac:dyDescent="0.35">
      <c r="A42" s="1168"/>
      <c r="B42" s="1167" t="s">
        <v>357</v>
      </c>
      <c r="C42" s="1874"/>
      <c r="D42" s="1874"/>
      <c r="E42" s="1874">
        <f>SUM(E41)+275+2463</f>
        <v>9617738</v>
      </c>
      <c r="F42" s="1874"/>
      <c r="G42" s="1874">
        <f>SUM(G41)</f>
        <v>0</v>
      </c>
      <c r="H42" s="1874"/>
      <c r="I42" s="1875"/>
      <c r="J42" s="1875"/>
      <c r="K42" s="1875"/>
      <c r="L42" s="1875"/>
      <c r="M42" s="1875"/>
      <c r="N42" s="1863">
        <f t="shared" si="0"/>
        <v>9617738</v>
      </c>
      <c r="O42" s="353"/>
    </row>
    <row r="43" spans="1:43" s="2069" customFormat="1" ht="0.15" customHeight="1" x14ac:dyDescent="0.3">
      <c r="A43" s="2375"/>
      <c r="B43" s="2372" t="s">
        <v>355</v>
      </c>
      <c r="C43" s="2376"/>
      <c r="D43" s="2376"/>
      <c r="E43" s="2376"/>
      <c r="F43" s="2376"/>
      <c r="G43" s="2376"/>
      <c r="H43" s="2376"/>
      <c r="I43" s="2377"/>
      <c r="J43" s="2377"/>
      <c r="K43" s="2377"/>
      <c r="L43" s="2377"/>
      <c r="M43" s="2377"/>
      <c r="N43" s="2374">
        <f t="shared" si="0"/>
        <v>0</v>
      </c>
      <c r="O43" s="2068"/>
    </row>
    <row r="44" spans="1:43" s="94" customFormat="1" ht="27.6" x14ac:dyDescent="0.3">
      <c r="A44" s="700" t="s">
        <v>256</v>
      </c>
      <c r="B44" s="752" t="s">
        <v>257</v>
      </c>
      <c r="C44" s="1870"/>
      <c r="D44" s="1870"/>
      <c r="E44" s="1870"/>
      <c r="F44" s="1870"/>
      <c r="G44" s="1870"/>
      <c r="H44" s="1870"/>
      <c r="I44" s="1871"/>
      <c r="J44" s="1871"/>
      <c r="K44" s="1871"/>
      <c r="L44" s="1871"/>
      <c r="M44" s="1871"/>
      <c r="N44" s="1860"/>
      <c r="O44" s="353"/>
    </row>
    <row r="45" spans="1:43" s="739" customFormat="1" ht="15" customHeight="1" thickBot="1" x14ac:dyDescent="0.35">
      <c r="A45" s="352"/>
      <c r="B45" s="386" t="s">
        <v>356</v>
      </c>
      <c r="C45" s="1872"/>
      <c r="D45" s="1872"/>
      <c r="E45" s="1872">
        <v>1188000</v>
      </c>
      <c r="F45" s="1872"/>
      <c r="G45" s="1872"/>
      <c r="H45" s="1872"/>
      <c r="I45" s="1873"/>
      <c r="J45" s="1873"/>
      <c r="K45" s="1873"/>
      <c r="L45" s="1873"/>
      <c r="M45" s="1873"/>
      <c r="N45" s="1861">
        <f t="shared" si="0"/>
        <v>1188000</v>
      </c>
      <c r="O45" s="353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/>
      <c r="AK45" s="94"/>
      <c r="AL45" s="94"/>
      <c r="AM45" s="94"/>
      <c r="AN45" s="94"/>
      <c r="AO45" s="94"/>
      <c r="AP45" s="94"/>
      <c r="AQ45" s="94"/>
    </row>
    <row r="46" spans="1:43" s="94" customFormat="1" ht="0.15" customHeight="1" thickBot="1" x14ac:dyDescent="0.35">
      <c r="A46" s="1168"/>
      <c r="B46" s="1167" t="s">
        <v>357</v>
      </c>
      <c r="C46" s="1874"/>
      <c r="D46" s="1874"/>
      <c r="E46" s="1874">
        <f>SUM(E45)+274+2464</f>
        <v>1190738</v>
      </c>
      <c r="F46" s="1874"/>
      <c r="G46" s="1874"/>
      <c r="H46" s="1874"/>
      <c r="I46" s="1875"/>
      <c r="J46" s="1875"/>
      <c r="K46" s="1875"/>
      <c r="L46" s="1875"/>
      <c r="M46" s="1875"/>
      <c r="N46" s="1863">
        <f t="shared" si="0"/>
        <v>1190738</v>
      </c>
      <c r="O46" s="353"/>
    </row>
    <row r="47" spans="1:43" s="2069" customFormat="1" ht="0.15" customHeight="1" x14ac:dyDescent="0.3">
      <c r="A47" s="2375"/>
      <c r="B47" s="2372" t="s">
        <v>355</v>
      </c>
      <c r="C47" s="2376"/>
      <c r="D47" s="2376"/>
      <c r="E47" s="2376"/>
      <c r="F47" s="2376"/>
      <c r="G47" s="2376"/>
      <c r="H47" s="2376"/>
      <c r="I47" s="2377"/>
      <c r="J47" s="2377"/>
      <c r="K47" s="2377"/>
      <c r="L47" s="2377"/>
      <c r="M47" s="2377"/>
      <c r="N47" s="2374">
        <f t="shared" si="0"/>
        <v>0</v>
      </c>
      <c r="O47" s="2068"/>
    </row>
    <row r="48" spans="1:43" s="94" customFormat="1" ht="15" customHeight="1" x14ac:dyDescent="0.3">
      <c r="A48" s="700" t="s">
        <v>276</v>
      </c>
      <c r="B48" s="752" t="s">
        <v>1</v>
      </c>
      <c r="C48" s="1876"/>
      <c r="D48" s="1870"/>
      <c r="E48" s="1870"/>
      <c r="F48" s="1870"/>
      <c r="G48" s="1870"/>
      <c r="H48" s="1870"/>
      <c r="I48" s="1871"/>
      <c r="J48" s="1871"/>
      <c r="K48" s="1871"/>
      <c r="L48" s="1871"/>
      <c r="M48" s="1871"/>
      <c r="N48" s="1860"/>
      <c r="O48" s="353"/>
    </row>
    <row r="49" spans="1:43" s="739" customFormat="1" ht="15" customHeight="1" thickBot="1" x14ac:dyDescent="0.35">
      <c r="A49" s="352"/>
      <c r="B49" s="386" t="s">
        <v>356</v>
      </c>
      <c r="C49" s="1877"/>
      <c r="D49" s="1872"/>
      <c r="E49" s="1872">
        <v>17507000</v>
      </c>
      <c r="F49" s="1872"/>
      <c r="G49" s="1872"/>
      <c r="H49" s="1872"/>
      <c r="I49" s="1873"/>
      <c r="J49" s="1873"/>
      <c r="K49" s="1873"/>
      <c r="L49" s="1873"/>
      <c r="M49" s="1873"/>
      <c r="N49" s="1861">
        <f t="shared" si="0"/>
        <v>17507000</v>
      </c>
      <c r="O49" s="353"/>
      <c r="P49" s="94"/>
      <c r="Q49" s="94"/>
      <c r="R49" s="94"/>
      <c r="S49" s="94"/>
      <c r="T49" s="94"/>
      <c r="U49" s="94"/>
      <c r="V49" s="94"/>
      <c r="W49" s="94"/>
      <c r="X49" s="94"/>
      <c r="Y49" s="94"/>
      <c r="Z49" s="94"/>
      <c r="AA49" s="94"/>
      <c r="AB49" s="94"/>
      <c r="AC49" s="94"/>
      <c r="AD49" s="94"/>
      <c r="AE49" s="94"/>
      <c r="AF49" s="94"/>
      <c r="AG49" s="94"/>
      <c r="AH49" s="94"/>
      <c r="AI49" s="94"/>
      <c r="AJ49" s="94"/>
      <c r="AK49" s="94"/>
      <c r="AL49" s="94"/>
      <c r="AM49" s="94"/>
      <c r="AN49" s="94"/>
      <c r="AO49" s="94"/>
      <c r="AP49" s="94"/>
      <c r="AQ49" s="94"/>
    </row>
    <row r="50" spans="1:43" s="94" customFormat="1" ht="0.15" customHeight="1" thickBot="1" x14ac:dyDescent="0.35">
      <c r="A50" s="1168"/>
      <c r="B50" s="1167" t="s">
        <v>357</v>
      </c>
      <c r="C50" s="1878"/>
      <c r="D50" s="1874"/>
      <c r="E50" s="1874">
        <f>SUM(E49)</f>
        <v>17507000</v>
      </c>
      <c r="F50" s="1874"/>
      <c r="G50" s="1874"/>
      <c r="H50" s="1874"/>
      <c r="I50" s="1875"/>
      <c r="J50" s="1875"/>
      <c r="K50" s="1875"/>
      <c r="L50" s="1875"/>
      <c r="M50" s="1875"/>
      <c r="N50" s="1863">
        <f t="shared" si="0"/>
        <v>17507000</v>
      </c>
      <c r="O50" s="353"/>
    </row>
    <row r="51" spans="1:43" s="2069" customFormat="1" ht="0.15" customHeight="1" x14ac:dyDescent="0.3">
      <c r="A51" s="2375"/>
      <c r="B51" s="2372" t="s">
        <v>355</v>
      </c>
      <c r="C51" s="2378"/>
      <c r="D51" s="2376"/>
      <c r="E51" s="2376"/>
      <c r="F51" s="2376"/>
      <c r="G51" s="2376"/>
      <c r="H51" s="2376"/>
      <c r="I51" s="2377"/>
      <c r="J51" s="2377"/>
      <c r="K51" s="2377"/>
      <c r="L51" s="2377"/>
      <c r="M51" s="2377"/>
      <c r="N51" s="2374">
        <f t="shared" si="0"/>
        <v>0</v>
      </c>
      <c r="O51" s="2068"/>
    </row>
    <row r="52" spans="1:43" s="94" customFormat="1" ht="15" customHeight="1" x14ac:dyDescent="0.3">
      <c r="A52" s="700" t="s">
        <v>277</v>
      </c>
      <c r="B52" s="752" t="s">
        <v>165</v>
      </c>
      <c r="C52" s="1870"/>
      <c r="D52" s="1870"/>
      <c r="E52" s="1870"/>
      <c r="F52" s="1870"/>
      <c r="G52" s="1870"/>
      <c r="H52" s="1870"/>
      <c r="I52" s="1871"/>
      <c r="J52" s="1871"/>
      <c r="K52" s="1871"/>
      <c r="L52" s="1871"/>
      <c r="M52" s="1871"/>
      <c r="N52" s="1860"/>
      <c r="O52" s="353"/>
    </row>
    <row r="53" spans="1:43" s="739" customFormat="1" ht="15" customHeight="1" thickBot="1" x14ac:dyDescent="0.35">
      <c r="A53" s="352"/>
      <c r="B53" s="386" t="s">
        <v>356</v>
      </c>
      <c r="C53" s="1872"/>
      <c r="D53" s="1872"/>
      <c r="E53" s="1872">
        <v>3277000</v>
      </c>
      <c r="F53" s="1872"/>
      <c r="G53" s="1872"/>
      <c r="H53" s="1872"/>
      <c r="I53" s="1873"/>
      <c r="J53" s="1873"/>
      <c r="K53" s="1873"/>
      <c r="L53" s="1873"/>
      <c r="M53" s="1873"/>
      <c r="N53" s="1861">
        <f t="shared" si="0"/>
        <v>3277000</v>
      </c>
      <c r="O53" s="353"/>
      <c r="P53" s="94"/>
      <c r="Q53" s="94"/>
      <c r="R53" s="94"/>
      <c r="S53" s="94"/>
      <c r="T53" s="94"/>
      <c r="U53" s="94"/>
      <c r="V53" s="94"/>
      <c r="W53" s="94"/>
      <c r="X53" s="94"/>
      <c r="Y53" s="94"/>
      <c r="Z53" s="94"/>
      <c r="AA53" s="94"/>
      <c r="AB53" s="94"/>
      <c r="AC53" s="94"/>
      <c r="AD53" s="94"/>
      <c r="AE53" s="94"/>
      <c r="AF53" s="94"/>
      <c r="AG53" s="94"/>
      <c r="AH53" s="94"/>
      <c r="AI53" s="94"/>
      <c r="AJ53" s="94"/>
      <c r="AK53" s="94"/>
      <c r="AL53" s="94"/>
      <c r="AM53" s="94"/>
      <c r="AN53" s="94"/>
      <c r="AO53" s="94"/>
      <c r="AP53" s="94"/>
      <c r="AQ53" s="94"/>
    </row>
    <row r="54" spans="1:43" s="94" customFormat="1" ht="0.15" customHeight="1" thickBot="1" x14ac:dyDescent="0.35">
      <c r="A54" s="1168"/>
      <c r="B54" s="1167" t="s">
        <v>357</v>
      </c>
      <c r="C54" s="1874"/>
      <c r="D54" s="1874"/>
      <c r="E54" s="1874">
        <f>SUM(E53)</f>
        <v>3277000</v>
      </c>
      <c r="F54" s="1874"/>
      <c r="G54" s="1874"/>
      <c r="H54" s="1874"/>
      <c r="I54" s="1875"/>
      <c r="J54" s="1875"/>
      <c r="K54" s="1875"/>
      <c r="L54" s="1875"/>
      <c r="M54" s="1875"/>
      <c r="N54" s="1863">
        <f t="shared" si="0"/>
        <v>3277000</v>
      </c>
      <c r="O54" s="353"/>
    </row>
    <row r="55" spans="1:43" s="2069" customFormat="1" ht="0.15" customHeight="1" x14ac:dyDescent="0.3">
      <c r="A55" s="2375"/>
      <c r="B55" s="2372" t="s">
        <v>355</v>
      </c>
      <c r="C55" s="2376"/>
      <c r="D55" s="2376"/>
      <c r="E55" s="2376"/>
      <c r="F55" s="2376"/>
      <c r="G55" s="2376"/>
      <c r="H55" s="2376"/>
      <c r="I55" s="2377"/>
      <c r="J55" s="2377"/>
      <c r="K55" s="2377"/>
      <c r="L55" s="2377"/>
      <c r="M55" s="2377"/>
      <c r="N55" s="2374">
        <f t="shared" si="0"/>
        <v>0</v>
      </c>
      <c r="O55" s="2068"/>
    </row>
    <row r="56" spans="1:43" s="94" customFormat="1" ht="15" customHeight="1" x14ac:dyDescent="0.3">
      <c r="A56" s="700" t="s">
        <v>258</v>
      </c>
      <c r="B56" s="752" t="s">
        <v>259</v>
      </c>
      <c r="C56" s="1870"/>
      <c r="D56" s="1870"/>
      <c r="E56" s="1870"/>
      <c r="F56" s="1870"/>
      <c r="G56" s="1870"/>
      <c r="H56" s="1870"/>
      <c r="I56" s="1871"/>
      <c r="J56" s="1871"/>
      <c r="K56" s="1871"/>
      <c r="L56" s="1871"/>
      <c r="M56" s="1871"/>
      <c r="N56" s="1860"/>
      <c r="O56" s="353"/>
    </row>
    <row r="57" spans="1:43" s="739" customFormat="1" ht="15" customHeight="1" thickBot="1" x14ac:dyDescent="0.35">
      <c r="A57" s="352"/>
      <c r="B57" s="386" t="s">
        <v>356</v>
      </c>
      <c r="C57" s="1872"/>
      <c r="D57" s="1872"/>
      <c r="E57" s="1872">
        <v>1702000</v>
      </c>
      <c r="F57" s="1872"/>
      <c r="G57" s="1872"/>
      <c r="H57" s="1872"/>
      <c r="I57" s="1873"/>
      <c r="J57" s="1873"/>
      <c r="K57" s="1873"/>
      <c r="L57" s="1873"/>
      <c r="M57" s="1873"/>
      <c r="N57" s="1861">
        <f t="shared" si="0"/>
        <v>1702000</v>
      </c>
      <c r="O57" s="353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94"/>
      <c r="AC57" s="94"/>
      <c r="AD57" s="94"/>
      <c r="AE57" s="94"/>
      <c r="AF57" s="94"/>
      <c r="AG57" s="94"/>
      <c r="AH57" s="94"/>
      <c r="AI57" s="94"/>
      <c r="AJ57" s="94"/>
      <c r="AK57" s="94"/>
      <c r="AL57" s="94"/>
      <c r="AM57" s="94"/>
      <c r="AN57" s="94"/>
      <c r="AO57" s="94"/>
      <c r="AP57" s="94"/>
      <c r="AQ57" s="94"/>
    </row>
    <row r="58" spans="1:43" s="94" customFormat="1" ht="0.15" customHeight="1" thickBot="1" x14ac:dyDescent="0.35">
      <c r="A58" s="1168"/>
      <c r="B58" s="1167" t="s">
        <v>357</v>
      </c>
      <c r="C58" s="1874"/>
      <c r="D58" s="1874"/>
      <c r="E58" s="1874"/>
      <c r="F58" s="1874"/>
      <c r="G58" s="1874"/>
      <c r="H58" s="1874"/>
      <c r="I58" s="1875"/>
      <c r="J58" s="1875"/>
      <c r="K58" s="1875"/>
      <c r="L58" s="1875"/>
      <c r="M58" s="1875"/>
      <c r="N58" s="1863">
        <f t="shared" si="0"/>
        <v>0</v>
      </c>
      <c r="O58" s="353"/>
    </row>
    <row r="59" spans="1:43" s="2069" customFormat="1" ht="0.15" customHeight="1" x14ac:dyDescent="0.3">
      <c r="A59" s="2375"/>
      <c r="B59" s="2372" t="s">
        <v>355</v>
      </c>
      <c r="C59" s="2376"/>
      <c r="D59" s="2376"/>
      <c r="E59" s="2376"/>
      <c r="F59" s="2376"/>
      <c r="G59" s="2376"/>
      <c r="H59" s="2376"/>
      <c r="I59" s="2377"/>
      <c r="J59" s="2377"/>
      <c r="K59" s="2377"/>
      <c r="L59" s="2377"/>
      <c r="M59" s="2377"/>
      <c r="N59" s="2374">
        <f t="shared" si="0"/>
        <v>0</v>
      </c>
      <c r="O59" s="2068"/>
    </row>
    <row r="60" spans="1:43" s="94" customFormat="1" ht="15" customHeight="1" x14ac:dyDescent="0.3">
      <c r="A60" s="700" t="s">
        <v>260</v>
      </c>
      <c r="B60" s="752" t="s">
        <v>110</v>
      </c>
      <c r="C60" s="1870"/>
      <c r="D60" s="1870"/>
      <c r="E60" s="1870"/>
      <c r="F60" s="1870"/>
      <c r="G60" s="1870"/>
      <c r="H60" s="1870"/>
      <c r="I60" s="1871"/>
      <c r="J60" s="1871"/>
      <c r="K60" s="1871"/>
      <c r="L60" s="1871"/>
      <c r="M60" s="1871"/>
      <c r="N60" s="1860"/>
      <c r="O60" s="353"/>
    </row>
    <row r="61" spans="1:43" s="739" customFormat="1" ht="15" customHeight="1" thickBot="1" x14ac:dyDescent="0.35">
      <c r="A61" s="352"/>
      <c r="B61" s="386" t="s">
        <v>356</v>
      </c>
      <c r="C61" s="1872"/>
      <c r="D61" s="1872"/>
      <c r="E61" s="1872">
        <v>23238000</v>
      </c>
      <c r="F61" s="1872"/>
      <c r="G61" s="1872"/>
      <c r="H61" s="1872">
        <f>'6.a.sz. melléklet'!H36</f>
        <v>400000</v>
      </c>
      <c r="I61" s="1873"/>
      <c r="J61" s="1873"/>
      <c r="K61" s="1873"/>
      <c r="L61" s="1873"/>
      <c r="M61" s="1873"/>
      <c r="N61" s="1861">
        <f t="shared" si="0"/>
        <v>23638000</v>
      </c>
      <c r="O61" s="353"/>
      <c r="P61" s="94"/>
      <c r="Q61" s="94"/>
      <c r="R61" s="94"/>
      <c r="S61" s="94"/>
      <c r="T61" s="94"/>
      <c r="U61" s="94"/>
      <c r="V61" s="94"/>
      <c r="W61" s="94"/>
      <c r="X61" s="94"/>
      <c r="Y61" s="94"/>
      <c r="Z61" s="94"/>
      <c r="AA61" s="94"/>
      <c r="AB61" s="94"/>
      <c r="AC61" s="94"/>
      <c r="AD61" s="94"/>
      <c r="AE61" s="94"/>
      <c r="AF61" s="94"/>
      <c r="AG61" s="94"/>
      <c r="AH61" s="94"/>
      <c r="AI61" s="94"/>
      <c r="AJ61" s="94"/>
      <c r="AK61" s="94"/>
      <c r="AL61" s="94"/>
      <c r="AM61" s="94"/>
      <c r="AN61" s="94"/>
      <c r="AO61" s="94"/>
      <c r="AP61" s="94"/>
      <c r="AQ61" s="94"/>
    </row>
    <row r="62" spans="1:43" s="94" customFormat="1" ht="0.15" customHeight="1" thickBot="1" x14ac:dyDescent="0.35">
      <c r="A62" s="1168"/>
      <c r="B62" s="1167" t="s">
        <v>357</v>
      </c>
      <c r="C62" s="1874"/>
      <c r="D62" s="1874"/>
      <c r="E62" s="1874">
        <f>SUM(E61)</f>
        <v>23238000</v>
      </c>
      <c r="F62" s="1874"/>
      <c r="G62" s="1874"/>
      <c r="H62" s="1874"/>
      <c r="I62" s="1875"/>
      <c r="J62" s="1875"/>
      <c r="K62" s="1875"/>
      <c r="L62" s="1875"/>
      <c r="M62" s="1875"/>
      <c r="N62" s="1863">
        <f t="shared" si="0"/>
        <v>23238000</v>
      </c>
      <c r="O62" s="353"/>
    </row>
    <row r="63" spans="1:43" s="2069" customFormat="1" ht="0.15" customHeight="1" x14ac:dyDescent="0.3">
      <c r="A63" s="2375"/>
      <c r="B63" s="2372" t="s">
        <v>355</v>
      </c>
      <c r="C63" s="2376"/>
      <c r="D63" s="2376"/>
      <c r="E63" s="2376"/>
      <c r="F63" s="2376"/>
      <c r="G63" s="2376"/>
      <c r="H63" s="2376"/>
      <c r="I63" s="2377"/>
      <c r="J63" s="2377"/>
      <c r="K63" s="2377"/>
      <c r="L63" s="2377"/>
      <c r="M63" s="2377"/>
      <c r="N63" s="2374">
        <f t="shared" si="0"/>
        <v>0</v>
      </c>
      <c r="O63" s="2068"/>
    </row>
    <row r="64" spans="1:43" s="94" customFormat="1" ht="27.6" x14ac:dyDescent="0.3">
      <c r="A64" s="700" t="s">
        <v>261</v>
      </c>
      <c r="B64" s="752" t="s">
        <v>112</v>
      </c>
      <c r="C64" s="1870"/>
      <c r="D64" s="1870"/>
      <c r="E64" s="1870"/>
      <c r="F64" s="1870"/>
      <c r="G64" s="1870"/>
      <c r="H64" s="1870"/>
      <c r="I64" s="1871"/>
      <c r="J64" s="1871"/>
      <c r="K64" s="1871"/>
      <c r="L64" s="1871"/>
      <c r="M64" s="1871"/>
      <c r="N64" s="1860"/>
      <c r="O64" s="353"/>
    </row>
    <row r="65" spans="1:43" s="739" customFormat="1" ht="15" customHeight="1" thickBot="1" x14ac:dyDescent="0.35">
      <c r="A65" s="352"/>
      <c r="B65" s="386" t="s">
        <v>356</v>
      </c>
      <c r="C65" s="1872">
        <v>8392000</v>
      </c>
      <c r="D65" s="1872">
        <f>1668000+87000</f>
        <v>1755000</v>
      </c>
      <c r="E65" s="1872">
        <v>1578000</v>
      </c>
      <c r="F65" s="1872"/>
      <c r="G65" s="1872"/>
      <c r="H65" s="1872">
        <f>'6.a.sz. melléklet'!H15</f>
        <v>300000</v>
      </c>
      <c r="I65" s="1873"/>
      <c r="J65" s="1873"/>
      <c r="K65" s="1873"/>
      <c r="L65" s="1873"/>
      <c r="M65" s="1873"/>
      <c r="N65" s="1861">
        <f t="shared" si="0"/>
        <v>12025000</v>
      </c>
      <c r="O65" s="353"/>
      <c r="P65" s="94"/>
      <c r="Q65" s="94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</row>
    <row r="66" spans="1:43" s="94" customFormat="1" ht="0.15" customHeight="1" thickBot="1" x14ac:dyDescent="0.35">
      <c r="A66" s="1168"/>
      <c r="B66" s="1167" t="s">
        <v>357</v>
      </c>
      <c r="C66" s="1874">
        <f>SUM(C65)+17+9</f>
        <v>8392026</v>
      </c>
      <c r="D66" s="1874">
        <f>SUM(D65)+4+2</f>
        <v>1755006</v>
      </c>
      <c r="E66" s="1874">
        <f t="shared" ref="E66" si="5">SUM(E65)</f>
        <v>1578000</v>
      </c>
      <c r="F66" s="1874"/>
      <c r="G66" s="1874"/>
      <c r="H66" s="1874">
        <f>SUM(H65)</f>
        <v>300000</v>
      </c>
      <c r="I66" s="1875"/>
      <c r="J66" s="1875"/>
      <c r="K66" s="1875"/>
      <c r="L66" s="1875"/>
      <c r="M66" s="1875"/>
      <c r="N66" s="1863">
        <f t="shared" si="0"/>
        <v>12025032</v>
      </c>
      <c r="O66" s="353"/>
    </row>
    <row r="67" spans="1:43" s="2069" customFormat="1" ht="0.15" customHeight="1" x14ac:dyDescent="0.3">
      <c r="A67" s="2375"/>
      <c r="B67" s="2372" t="s">
        <v>355</v>
      </c>
      <c r="C67" s="2376"/>
      <c r="D67" s="2376"/>
      <c r="E67" s="2376"/>
      <c r="F67" s="2376"/>
      <c r="G67" s="2376"/>
      <c r="H67" s="2376"/>
      <c r="I67" s="2377"/>
      <c r="J67" s="2377"/>
      <c r="K67" s="2377"/>
      <c r="L67" s="2377"/>
      <c r="M67" s="2377"/>
      <c r="N67" s="2374">
        <f t="shared" si="0"/>
        <v>0</v>
      </c>
      <c r="O67" s="2068"/>
    </row>
    <row r="68" spans="1:43" s="94" customFormat="1" ht="15" customHeight="1" x14ac:dyDescent="0.3">
      <c r="A68" s="700" t="s">
        <v>262</v>
      </c>
      <c r="B68" s="752" t="s">
        <v>111</v>
      </c>
      <c r="C68" s="1870"/>
      <c r="D68" s="1870"/>
      <c r="E68" s="1870"/>
      <c r="F68" s="1870"/>
      <c r="G68" s="1870"/>
      <c r="H68" s="1870"/>
      <c r="I68" s="1871"/>
      <c r="J68" s="1871"/>
      <c r="K68" s="1871"/>
      <c r="L68" s="1871"/>
      <c r="M68" s="1871"/>
      <c r="N68" s="1860"/>
      <c r="O68" s="353"/>
    </row>
    <row r="69" spans="1:43" s="739" customFormat="1" ht="15" customHeight="1" thickBot="1" x14ac:dyDescent="0.35">
      <c r="A69" s="352"/>
      <c r="B69" s="386" t="s">
        <v>356</v>
      </c>
      <c r="C69" s="1872">
        <v>447000</v>
      </c>
      <c r="D69" s="1872">
        <v>88000</v>
      </c>
      <c r="E69" s="1872"/>
      <c r="F69" s="1872"/>
      <c r="G69" s="1872"/>
      <c r="H69" s="1872"/>
      <c r="I69" s="1873"/>
      <c r="J69" s="1873"/>
      <c r="K69" s="1873"/>
      <c r="L69" s="1873"/>
      <c r="M69" s="1873"/>
      <c r="N69" s="1861">
        <f t="shared" ref="N69:N117" si="6">SUM(C69:M69)</f>
        <v>535000</v>
      </c>
      <c r="O69" s="353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</row>
    <row r="70" spans="1:43" s="94" customFormat="1" ht="0.15" customHeight="1" thickBot="1" x14ac:dyDescent="0.35">
      <c r="A70" s="1168"/>
      <c r="B70" s="1167" t="s">
        <v>357</v>
      </c>
      <c r="C70" s="1874">
        <f>SUM(C69)</f>
        <v>447000</v>
      </c>
      <c r="D70" s="1874">
        <f>SUM(D69)</f>
        <v>88000</v>
      </c>
      <c r="E70" s="1874"/>
      <c r="F70" s="1874"/>
      <c r="G70" s="1874"/>
      <c r="H70" s="1874"/>
      <c r="I70" s="1875"/>
      <c r="J70" s="1875"/>
      <c r="K70" s="1875"/>
      <c r="L70" s="1875"/>
      <c r="M70" s="1875"/>
      <c r="N70" s="1863">
        <f t="shared" si="6"/>
        <v>535000</v>
      </c>
      <c r="O70" s="353"/>
    </row>
    <row r="71" spans="1:43" s="2069" customFormat="1" ht="0.15" customHeight="1" x14ac:dyDescent="0.3">
      <c r="A71" s="2375"/>
      <c r="B71" s="2372" t="s">
        <v>355</v>
      </c>
      <c r="C71" s="2376"/>
      <c r="D71" s="2376"/>
      <c r="E71" s="2376"/>
      <c r="F71" s="2376"/>
      <c r="G71" s="2376"/>
      <c r="H71" s="2376"/>
      <c r="I71" s="2377"/>
      <c r="J71" s="2377"/>
      <c r="K71" s="2377"/>
      <c r="L71" s="2377"/>
      <c r="M71" s="2377"/>
      <c r="N71" s="2374">
        <f t="shared" si="6"/>
        <v>0</v>
      </c>
      <c r="O71" s="2068"/>
    </row>
    <row r="72" spans="1:43" s="94" customFormat="1" ht="41.4" x14ac:dyDescent="0.3">
      <c r="A72" s="700" t="s">
        <v>263</v>
      </c>
      <c r="B72" s="752" t="s">
        <v>365</v>
      </c>
      <c r="C72" s="1870"/>
      <c r="D72" s="1870"/>
      <c r="E72" s="1870"/>
      <c r="F72" s="1870"/>
      <c r="G72" s="1870"/>
      <c r="H72" s="1870"/>
      <c r="I72" s="1871"/>
      <c r="J72" s="1871"/>
      <c r="K72" s="1871"/>
      <c r="L72" s="1871"/>
      <c r="M72" s="1871"/>
      <c r="N72" s="1860"/>
      <c r="O72" s="353"/>
    </row>
    <row r="73" spans="1:43" s="739" customFormat="1" ht="15" customHeight="1" thickBot="1" x14ac:dyDescent="0.35">
      <c r="A73" s="352"/>
      <c r="B73" s="386" t="s">
        <v>356</v>
      </c>
      <c r="C73" s="1872">
        <v>480000</v>
      </c>
      <c r="D73" s="1872">
        <v>95000</v>
      </c>
      <c r="E73" s="1872">
        <v>534000</v>
      </c>
      <c r="F73" s="1872"/>
      <c r="G73" s="1872"/>
      <c r="H73" s="1872"/>
      <c r="I73" s="1873">
        <f>SUM('6.b.sz.melléklet'!B9)</f>
        <v>840000</v>
      </c>
      <c r="J73" s="1873"/>
      <c r="K73" s="1873"/>
      <c r="L73" s="1873"/>
      <c r="M73" s="1873"/>
      <c r="N73" s="1861">
        <f t="shared" si="6"/>
        <v>1949000</v>
      </c>
      <c r="O73" s="353"/>
      <c r="P73" s="94"/>
      <c r="Q73" s="94"/>
      <c r="R73" s="94"/>
      <c r="S73" s="94"/>
      <c r="T73" s="94"/>
      <c r="U73" s="94"/>
      <c r="V73" s="94"/>
      <c r="W73" s="94"/>
      <c r="X73" s="94"/>
      <c r="Y73" s="94"/>
      <c r="Z73" s="94"/>
      <c r="AA73" s="94"/>
      <c r="AB73" s="94"/>
      <c r="AC73" s="94"/>
      <c r="AD73" s="94"/>
      <c r="AE73" s="94"/>
      <c r="AF73" s="94"/>
      <c r="AG73" s="94"/>
      <c r="AH73" s="94"/>
      <c r="AI73" s="94"/>
      <c r="AJ73" s="94"/>
      <c r="AK73" s="94"/>
      <c r="AL73" s="94"/>
      <c r="AM73" s="94"/>
      <c r="AN73" s="94"/>
      <c r="AO73" s="94"/>
      <c r="AP73" s="94"/>
      <c r="AQ73" s="94"/>
    </row>
    <row r="74" spans="1:43" s="94" customFormat="1" ht="0.15" customHeight="1" thickBot="1" x14ac:dyDescent="0.35">
      <c r="A74" s="1168"/>
      <c r="B74" s="1167" t="s">
        <v>357</v>
      </c>
      <c r="C74" s="1874">
        <f>SUM(C73)</f>
        <v>480000</v>
      </c>
      <c r="D74" s="1874">
        <f t="shared" ref="D74:E74" si="7">SUM(D73)</f>
        <v>95000</v>
      </c>
      <c r="E74" s="1874">
        <f t="shared" si="7"/>
        <v>534000</v>
      </c>
      <c r="F74" s="1874"/>
      <c r="G74" s="1874"/>
      <c r="H74" s="1874"/>
      <c r="I74" s="1875">
        <v>840</v>
      </c>
      <c r="J74" s="1875"/>
      <c r="K74" s="1875"/>
      <c r="L74" s="1875"/>
      <c r="M74" s="1875"/>
      <c r="N74" s="1863">
        <f t="shared" si="6"/>
        <v>1109840</v>
      </c>
      <c r="O74" s="353"/>
    </row>
    <row r="75" spans="1:43" s="2069" customFormat="1" ht="0.15" customHeight="1" x14ac:dyDescent="0.3">
      <c r="A75" s="2375"/>
      <c r="B75" s="2372" t="s">
        <v>355</v>
      </c>
      <c r="C75" s="2376"/>
      <c r="D75" s="2376"/>
      <c r="E75" s="2376"/>
      <c r="F75" s="2376"/>
      <c r="G75" s="2376"/>
      <c r="H75" s="2376"/>
      <c r="I75" s="2377"/>
      <c r="J75" s="2377"/>
      <c r="K75" s="2377"/>
      <c r="L75" s="2377"/>
      <c r="M75" s="2377"/>
      <c r="N75" s="2374">
        <f t="shared" si="6"/>
        <v>0</v>
      </c>
      <c r="O75" s="2068"/>
    </row>
    <row r="76" spans="1:43" s="94" customFormat="1" ht="27.6" x14ac:dyDescent="0.3">
      <c r="A76" s="700" t="s">
        <v>457</v>
      </c>
      <c r="B76" s="752" t="s">
        <v>292</v>
      </c>
      <c r="C76" s="1870"/>
      <c r="D76" s="1870"/>
      <c r="E76" s="1870"/>
      <c r="F76" s="1870"/>
      <c r="G76" s="1870"/>
      <c r="H76" s="1870"/>
      <c r="I76" s="1871"/>
      <c r="J76" s="1871"/>
      <c r="K76" s="1871"/>
      <c r="L76" s="1871"/>
      <c r="M76" s="1871"/>
      <c r="N76" s="1860"/>
      <c r="O76" s="353"/>
    </row>
    <row r="77" spans="1:43" s="739" customFormat="1" ht="15" customHeight="1" thickBot="1" x14ac:dyDescent="0.35">
      <c r="A77" s="352"/>
      <c r="B77" s="386" t="s">
        <v>356</v>
      </c>
      <c r="C77" s="1872"/>
      <c r="D77" s="1872"/>
      <c r="E77" s="1872"/>
      <c r="F77" s="1872"/>
      <c r="G77" s="1872"/>
      <c r="H77" s="1872"/>
      <c r="I77" s="1873">
        <f>SUM('6.b.sz.melléklet'!B14+'6.b.sz.melléklet'!B18)</f>
        <v>1300000</v>
      </c>
      <c r="J77" s="1873"/>
      <c r="K77" s="1873"/>
      <c r="L77" s="1873"/>
      <c r="M77" s="1873"/>
      <c r="N77" s="1861">
        <f t="shared" si="6"/>
        <v>1300000</v>
      </c>
      <c r="O77" s="353"/>
      <c r="P77" s="94"/>
      <c r="Q77" s="94"/>
      <c r="R77" s="94"/>
      <c r="S77" s="94"/>
      <c r="T77" s="94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</row>
    <row r="78" spans="1:43" s="94" customFormat="1" ht="0.15" customHeight="1" thickBot="1" x14ac:dyDescent="0.35">
      <c r="A78" s="1168"/>
      <c r="B78" s="1167" t="s">
        <v>357</v>
      </c>
      <c r="C78" s="1874"/>
      <c r="D78" s="1874"/>
      <c r="E78" s="1874"/>
      <c r="F78" s="1874"/>
      <c r="G78" s="1874"/>
      <c r="H78" s="1874"/>
      <c r="I78" s="1875">
        <f>SUM(I77)</f>
        <v>1300000</v>
      </c>
      <c r="J78" s="1875"/>
      <c r="K78" s="1875"/>
      <c r="L78" s="1875"/>
      <c r="M78" s="1875"/>
      <c r="N78" s="1863">
        <f t="shared" si="6"/>
        <v>1300000</v>
      </c>
      <c r="O78" s="353"/>
    </row>
    <row r="79" spans="1:43" s="2069" customFormat="1" ht="0.15" customHeight="1" x14ac:dyDescent="0.3">
      <c r="A79" s="2375"/>
      <c r="B79" s="2372" t="s">
        <v>355</v>
      </c>
      <c r="C79" s="2376"/>
      <c r="D79" s="2376"/>
      <c r="E79" s="2376"/>
      <c r="F79" s="2376"/>
      <c r="G79" s="2376"/>
      <c r="H79" s="2376"/>
      <c r="I79" s="2377"/>
      <c r="J79" s="2377"/>
      <c r="K79" s="2377"/>
      <c r="L79" s="2377"/>
      <c r="M79" s="2377"/>
      <c r="N79" s="2374">
        <f t="shared" si="6"/>
        <v>0</v>
      </c>
      <c r="O79" s="2068"/>
    </row>
    <row r="80" spans="1:43" s="94" customFormat="1" ht="15" customHeight="1" x14ac:dyDescent="0.3">
      <c r="A80" s="700" t="s">
        <v>265</v>
      </c>
      <c r="B80" s="752" t="s">
        <v>266</v>
      </c>
      <c r="C80" s="1870"/>
      <c r="D80" s="1870"/>
      <c r="E80" s="1870"/>
      <c r="F80" s="1870"/>
      <c r="G80" s="1870"/>
      <c r="H80" s="1870"/>
      <c r="I80" s="1871"/>
      <c r="J80" s="1871"/>
      <c r="K80" s="1871"/>
      <c r="L80" s="1871"/>
      <c r="M80" s="1871"/>
      <c r="N80" s="1860"/>
      <c r="O80" s="353"/>
    </row>
    <row r="81" spans="1:43" s="739" customFormat="1" ht="15" customHeight="1" thickBot="1" x14ac:dyDescent="0.35">
      <c r="A81" s="352"/>
      <c r="B81" s="386" t="s">
        <v>356</v>
      </c>
      <c r="C81" s="1872"/>
      <c r="D81" s="1872"/>
      <c r="E81" s="1872">
        <v>4064000</v>
      </c>
      <c r="F81" s="1872"/>
      <c r="G81" s="1872"/>
      <c r="H81" s="1872"/>
      <c r="I81" s="1873"/>
      <c r="J81" s="1873"/>
      <c r="K81" s="1873"/>
      <c r="L81" s="1873"/>
      <c r="M81" s="1873"/>
      <c r="N81" s="1861">
        <f t="shared" si="6"/>
        <v>4064000</v>
      </c>
      <c r="O81" s="353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94"/>
      <c r="AO81" s="94"/>
      <c r="AP81" s="94"/>
      <c r="AQ81" s="94"/>
    </row>
    <row r="82" spans="1:43" s="94" customFormat="1" ht="0.15" customHeight="1" thickBot="1" x14ac:dyDescent="0.35">
      <c r="A82" s="1168"/>
      <c r="B82" s="1167" t="s">
        <v>357</v>
      </c>
      <c r="C82" s="1874"/>
      <c r="D82" s="1874"/>
      <c r="E82" s="1874">
        <f>SUM(E81)</f>
        <v>4064000</v>
      </c>
      <c r="F82" s="1874"/>
      <c r="G82" s="1874"/>
      <c r="H82" s="1874"/>
      <c r="I82" s="1875"/>
      <c r="J82" s="1875"/>
      <c r="K82" s="1875"/>
      <c r="L82" s="1875"/>
      <c r="M82" s="1875"/>
      <c r="N82" s="1863">
        <f t="shared" si="6"/>
        <v>4064000</v>
      </c>
      <c r="O82" s="353"/>
    </row>
    <row r="83" spans="1:43" s="2069" customFormat="1" ht="0.15" customHeight="1" x14ac:dyDescent="0.3">
      <c r="A83" s="2375"/>
      <c r="B83" s="2372" t="s">
        <v>355</v>
      </c>
      <c r="C83" s="2376"/>
      <c r="D83" s="2376"/>
      <c r="E83" s="2376"/>
      <c r="F83" s="2376"/>
      <c r="G83" s="2376"/>
      <c r="H83" s="2376"/>
      <c r="I83" s="2377"/>
      <c r="J83" s="2377"/>
      <c r="K83" s="2377"/>
      <c r="L83" s="2377"/>
      <c r="M83" s="2377"/>
      <c r="N83" s="2374">
        <f t="shared" si="6"/>
        <v>0</v>
      </c>
      <c r="O83" s="2068"/>
    </row>
    <row r="84" spans="1:43" s="94" customFormat="1" ht="27.6" x14ac:dyDescent="0.3">
      <c r="A84" s="700" t="s">
        <v>279</v>
      </c>
      <c r="B84" s="752" t="s">
        <v>135</v>
      </c>
      <c r="C84" s="1870"/>
      <c r="D84" s="1870"/>
      <c r="E84" s="1870"/>
      <c r="F84" s="1870"/>
      <c r="G84" s="1870"/>
      <c r="H84" s="1870"/>
      <c r="I84" s="1871"/>
      <c r="J84" s="1871"/>
      <c r="K84" s="1871"/>
      <c r="L84" s="1871"/>
      <c r="M84" s="1871"/>
      <c r="N84" s="1860"/>
      <c r="O84" s="353"/>
    </row>
    <row r="85" spans="1:43" s="739" customFormat="1" ht="15" customHeight="1" thickBot="1" x14ac:dyDescent="0.35">
      <c r="A85" s="352"/>
      <c r="B85" s="386" t="s">
        <v>356</v>
      </c>
      <c r="C85" s="1872"/>
      <c r="D85" s="1872"/>
      <c r="E85" s="1872"/>
      <c r="F85" s="1872"/>
      <c r="G85" s="1872"/>
      <c r="H85" s="1872"/>
      <c r="I85" s="1873">
        <f>SUM('6.b.sz.melléklet'!B10+'6.b.sz.melléklet'!B11+'6.b.sz.melléklet'!B13+'6.b.sz.melléklet'!B17+'6.b.sz.melléklet'!B25+'6.b.sz.melléklet'!B28+'6.b.sz.melléklet'!B30+'6.b.sz.melléklet'!B32+'6.b.sz.melléklet'!B16+'6.b.sz.melléklet'!B19+'6.b.sz.melléklet'!B24+'6.b.sz.melléklet'!B29)+'6.b.sz.melléklet'!B12</f>
        <v>60203000</v>
      </c>
      <c r="J85" s="1873"/>
      <c r="K85" s="1873"/>
      <c r="L85" s="1873"/>
      <c r="M85" s="1873"/>
      <c r="N85" s="1861">
        <f t="shared" si="6"/>
        <v>60203000</v>
      </c>
      <c r="O85" s="353"/>
      <c r="P85" s="94"/>
      <c r="Q85" s="94"/>
      <c r="R85" s="94"/>
      <c r="S85" s="94"/>
      <c r="T85" s="94"/>
      <c r="U85" s="94"/>
      <c r="V85" s="94"/>
      <c r="W85" s="94"/>
      <c r="X85" s="94"/>
      <c r="Y85" s="94"/>
      <c r="Z85" s="94"/>
      <c r="AA85" s="94"/>
      <c r="AB85" s="94"/>
      <c r="AC85" s="94"/>
      <c r="AD85" s="94"/>
      <c r="AE85" s="94"/>
      <c r="AF85" s="94"/>
      <c r="AG85" s="94"/>
      <c r="AH85" s="94"/>
      <c r="AI85" s="94"/>
      <c r="AJ85" s="94"/>
      <c r="AK85" s="94"/>
      <c r="AL85" s="94"/>
      <c r="AM85" s="94"/>
      <c r="AN85" s="94"/>
      <c r="AO85" s="94"/>
      <c r="AP85" s="94"/>
      <c r="AQ85" s="94"/>
    </row>
    <row r="86" spans="1:43" s="94" customFormat="1" ht="0.15" customHeight="1" thickBot="1" x14ac:dyDescent="0.35">
      <c r="A86" s="1168"/>
      <c r="B86" s="1167" t="s">
        <v>357</v>
      </c>
      <c r="C86" s="1874"/>
      <c r="D86" s="1874"/>
      <c r="E86" s="1874"/>
      <c r="F86" s="1874"/>
      <c r="G86" s="1874"/>
      <c r="H86" s="1874"/>
      <c r="I86" s="1875">
        <f>SUM(I85)+800</f>
        <v>60203800</v>
      </c>
      <c r="J86" s="1875"/>
      <c r="K86" s="1875"/>
      <c r="L86" s="1875"/>
      <c r="M86" s="1875"/>
      <c r="N86" s="1863">
        <f t="shared" si="6"/>
        <v>60203800</v>
      </c>
      <c r="O86" s="353"/>
    </row>
    <row r="87" spans="1:43" s="2069" customFormat="1" ht="0.15" customHeight="1" x14ac:dyDescent="0.3">
      <c r="A87" s="2375"/>
      <c r="B87" s="2372" t="s">
        <v>355</v>
      </c>
      <c r="C87" s="2376"/>
      <c r="D87" s="2376"/>
      <c r="E87" s="2376"/>
      <c r="F87" s="2376"/>
      <c r="G87" s="2376"/>
      <c r="H87" s="2376"/>
      <c r="I87" s="2377"/>
      <c r="J87" s="2377"/>
      <c r="K87" s="2377"/>
      <c r="L87" s="2377"/>
      <c r="M87" s="2377"/>
      <c r="N87" s="2374">
        <f t="shared" si="6"/>
        <v>0</v>
      </c>
      <c r="O87" s="2068"/>
    </row>
    <row r="88" spans="1:43" s="94" customFormat="1" ht="27.6" x14ac:dyDescent="0.3">
      <c r="A88" s="700" t="s">
        <v>280</v>
      </c>
      <c r="B88" s="752" t="s">
        <v>281</v>
      </c>
      <c r="C88" s="1870"/>
      <c r="D88" s="1870"/>
      <c r="E88" s="1870"/>
      <c r="F88" s="1870"/>
      <c r="G88" s="1870"/>
      <c r="H88" s="1870"/>
      <c r="I88" s="1871"/>
      <c r="J88" s="1871"/>
      <c r="K88" s="1871"/>
      <c r="L88" s="1871"/>
      <c r="M88" s="1871"/>
      <c r="N88" s="1860"/>
      <c r="O88" s="353"/>
    </row>
    <row r="89" spans="1:43" s="739" customFormat="1" ht="15" customHeight="1" thickBot="1" x14ac:dyDescent="0.35">
      <c r="A89" s="352"/>
      <c r="B89" s="386" t="s">
        <v>356</v>
      </c>
      <c r="C89" s="1872"/>
      <c r="D89" s="1872"/>
      <c r="E89" s="1872"/>
      <c r="F89" s="1872"/>
      <c r="G89" s="1872"/>
      <c r="H89" s="1872"/>
      <c r="I89" s="1873"/>
      <c r="J89" s="1873">
        <f>SUM('6.b.sz.melléklet'!B34)</f>
        <v>6127431</v>
      </c>
      <c r="K89" s="1873"/>
      <c r="L89" s="1873"/>
      <c r="M89" s="1873"/>
      <c r="N89" s="1861">
        <f t="shared" si="6"/>
        <v>6127431</v>
      </c>
      <c r="O89" s="353"/>
      <c r="P89" s="94"/>
      <c r="Q89" s="94"/>
      <c r="R89" s="94"/>
      <c r="S89" s="94"/>
      <c r="T89" s="94"/>
      <c r="U89" s="94"/>
      <c r="V89" s="94"/>
      <c r="W89" s="94"/>
      <c r="X89" s="94"/>
      <c r="Y89" s="94"/>
      <c r="Z89" s="94"/>
      <c r="AA89" s="94"/>
      <c r="AB89" s="94"/>
      <c r="AC89" s="94"/>
      <c r="AD89" s="94"/>
      <c r="AE89" s="94"/>
      <c r="AF89" s="94"/>
      <c r="AG89" s="94"/>
      <c r="AH89" s="94"/>
      <c r="AI89" s="94"/>
      <c r="AJ89" s="94"/>
      <c r="AK89" s="94"/>
      <c r="AL89" s="94"/>
      <c r="AM89" s="94"/>
      <c r="AN89" s="94"/>
      <c r="AO89" s="94"/>
      <c r="AP89" s="94"/>
      <c r="AQ89" s="94"/>
    </row>
    <row r="90" spans="1:43" s="94" customFormat="1" ht="0.15" customHeight="1" thickBot="1" x14ac:dyDescent="0.35">
      <c r="A90" s="1168"/>
      <c r="B90" s="1167" t="s">
        <v>357</v>
      </c>
      <c r="C90" s="1874"/>
      <c r="D90" s="1874"/>
      <c r="E90" s="1874"/>
      <c r="F90" s="1874"/>
      <c r="G90" s="1874"/>
      <c r="H90" s="1874"/>
      <c r="I90" s="1875"/>
      <c r="J90" s="1875">
        <f>SUM(J89)</f>
        <v>6127431</v>
      </c>
      <c r="K90" s="1875"/>
      <c r="L90" s="1875"/>
      <c r="M90" s="1875"/>
      <c r="N90" s="1863">
        <f t="shared" si="6"/>
        <v>6127431</v>
      </c>
      <c r="O90" s="353"/>
    </row>
    <row r="91" spans="1:43" s="2069" customFormat="1" ht="0.15" customHeight="1" x14ac:dyDescent="0.3">
      <c r="A91" s="2375"/>
      <c r="B91" s="2372" t="s">
        <v>355</v>
      </c>
      <c r="C91" s="2376"/>
      <c r="D91" s="2376"/>
      <c r="E91" s="2376"/>
      <c r="F91" s="2376"/>
      <c r="G91" s="2376"/>
      <c r="H91" s="2376"/>
      <c r="I91" s="2377"/>
      <c r="J91" s="2377"/>
      <c r="K91" s="2377"/>
      <c r="L91" s="2377"/>
      <c r="M91" s="2377"/>
      <c r="N91" s="2374">
        <f t="shared" si="6"/>
        <v>0</v>
      </c>
      <c r="O91" s="2068"/>
    </row>
    <row r="92" spans="1:43" s="94" customFormat="1" ht="27.6" x14ac:dyDescent="0.3">
      <c r="A92" s="700" t="s">
        <v>387</v>
      </c>
      <c r="B92" s="752" t="s">
        <v>396</v>
      </c>
      <c r="C92" s="1870"/>
      <c r="D92" s="1870"/>
      <c r="E92" s="1870"/>
      <c r="F92" s="1870"/>
      <c r="G92" s="1870"/>
      <c r="H92" s="1870"/>
      <c r="I92" s="1871"/>
      <c r="J92" s="1871"/>
      <c r="K92" s="1871"/>
      <c r="L92" s="1871"/>
      <c r="M92" s="1871"/>
      <c r="N92" s="1860"/>
      <c r="O92" s="353"/>
    </row>
    <row r="93" spans="1:43" s="739" customFormat="1" ht="15" customHeight="1" thickBot="1" x14ac:dyDescent="0.35">
      <c r="A93" s="352"/>
      <c r="B93" s="386" t="s">
        <v>356</v>
      </c>
      <c r="C93" s="1872"/>
      <c r="D93" s="1872"/>
      <c r="E93" s="1872">
        <v>21231000</v>
      </c>
      <c r="F93" s="1872"/>
      <c r="G93" s="1872"/>
      <c r="H93" s="1872"/>
      <c r="I93" s="1873"/>
      <c r="J93" s="1873"/>
      <c r="K93" s="1873"/>
      <c r="L93" s="1873"/>
      <c r="M93" s="1873"/>
      <c r="N93" s="1861">
        <f t="shared" si="6"/>
        <v>21231000</v>
      </c>
      <c r="O93" s="353"/>
      <c r="P93" s="94"/>
      <c r="Q93" s="94"/>
      <c r="R93" s="94"/>
      <c r="S93" s="94"/>
      <c r="T93" s="94"/>
      <c r="U93" s="94"/>
      <c r="V93" s="94"/>
      <c r="W93" s="94"/>
      <c r="X93" s="94"/>
      <c r="Y93" s="94"/>
      <c r="Z93" s="94"/>
      <c r="AA93" s="94"/>
      <c r="AB93" s="94"/>
      <c r="AC93" s="94"/>
      <c r="AD93" s="94"/>
      <c r="AE93" s="94"/>
      <c r="AF93" s="94"/>
      <c r="AG93" s="94"/>
      <c r="AH93" s="94"/>
      <c r="AI93" s="94"/>
      <c r="AJ93" s="94"/>
      <c r="AK93" s="94"/>
      <c r="AL93" s="94"/>
      <c r="AM93" s="94"/>
      <c r="AN93" s="94"/>
      <c r="AO93" s="94"/>
      <c r="AP93" s="94"/>
      <c r="AQ93" s="94"/>
    </row>
    <row r="94" spans="1:43" s="94" customFormat="1" ht="0.15" customHeight="1" thickBot="1" x14ac:dyDescent="0.35">
      <c r="A94" s="1168"/>
      <c r="B94" s="1167" t="s">
        <v>357</v>
      </c>
      <c r="C94" s="1874"/>
      <c r="D94" s="1874"/>
      <c r="E94" s="1874">
        <f>SUM(E93)</f>
        <v>21231000</v>
      </c>
      <c r="F94" s="1874"/>
      <c r="G94" s="1874"/>
      <c r="H94" s="1874"/>
      <c r="I94" s="1875"/>
      <c r="J94" s="1875"/>
      <c r="K94" s="1875"/>
      <c r="L94" s="1875"/>
      <c r="M94" s="1875"/>
      <c r="N94" s="1863">
        <f t="shared" si="6"/>
        <v>21231000</v>
      </c>
      <c r="O94" s="353"/>
    </row>
    <row r="95" spans="1:43" s="2069" customFormat="1" ht="0.15" customHeight="1" x14ac:dyDescent="0.3">
      <c r="A95" s="2379"/>
      <c r="B95" s="2380" t="s">
        <v>355</v>
      </c>
      <c r="C95" s="2381"/>
      <c r="D95" s="2381"/>
      <c r="E95" s="2381"/>
      <c r="F95" s="2381"/>
      <c r="G95" s="2381"/>
      <c r="H95" s="2381"/>
      <c r="I95" s="2382"/>
      <c r="J95" s="2382"/>
      <c r="K95" s="2382"/>
      <c r="L95" s="2382"/>
      <c r="M95" s="2382"/>
      <c r="N95" s="2383">
        <f t="shared" si="6"/>
        <v>0</v>
      </c>
      <c r="O95" s="2068"/>
    </row>
    <row r="96" spans="1:43" s="2069" customFormat="1" ht="15" customHeight="1" x14ac:dyDescent="0.3">
      <c r="A96" s="2062" t="s">
        <v>537</v>
      </c>
      <c r="B96" s="2063" t="s">
        <v>538</v>
      </c>
      <c r="C96" s="2065"/>
      <c r="D96" s="2065"/>
      <c r="E96" s="2065"/>
      <c r="F96" s="2065"/>
      <c r="G96" s="2065"/>
      <c r="H96" s="2065"/>
      <c r="I96" s="2066"/>
      <c r="J96" s="2066"/>
      <c r="K96" s="2066"/>
      <c r="L96" s="2066"/>
      <c r="M96" s="2066"/>
      <c r="N96" s="2067"/>
      <c r="O96" s="2068"/>
    </row>
    <row r="97" spans="1:43" s="2069" customFormat="1" ht="15" customHeight="1" thickBot="1" x14ac:dyDescent="0.35">
      <c r="A97" s="2064"/>
      <c r="B97" s="386" t="s">
        <v>356</v>
      </c>
      <c r="C97" s="2070"/>
      <c r="D97" s="2070"/>
      <c r="E97" s="2070">
        <v>4499483</v>
      </c>
      <c r="F97" s="2070"/>
      <c r="G97" s="2070"/>
      <c r="H97" s="2070">
        <f>'6.a.sz. melléklet'!H8</f>
        <v>448624239</v>
      </c>
      <c r="I97" s="2071"/>
      <c r="J97" s="2071"/>
      <c r="K97" s="2071"/>
      <c r="L97" s="2071"/>
      <c r="M97" s="2071"/>
      <c r="N97" s="2072">
        <f>SUM(C97:M97)</f>
        <v>453123722</v>
      </c>
      <c r="O97" s="2068"/>
    </row>
    <row r="98" spans="1:43" s="94" customFormat="1" ht="15" customHeight="1" x14ac:dyDescent="0.3">
      <c r="A98" s="1200" t="s">
        <v>453</v>
      </c>
      <c r="B98" s="387" t="s">
        <v>455</v>
      </c>
      <c r="C98" s="1885"/>
      <c r="D98" s="1885"/>
      <c r="E98" s="1885"/>
      <c r="F98" s="1885"/>
      <c r="G98" s="1885"/>
      <c r="H98" s="1885"/>
      <c r="I98" s="1886"/>
      <c r="J98" s="1886"/>
      <c r="K98" s="1886"/>
      <c r="L98" s="1886"/>
      <c r="M98" s="1886"/>
      <c r="N98" s="1887"/>
      <c r="O98" s="353"/>
    </row>
    <row r="99" spans="1:43" s="94" customFormat="1" ht="15" customHeight="1" thickBot="1" x14ac:dyDescent="0.35">
      <c r="A99" s="352"/>
      <c r="B99" s="386" t="s">
        <v>356</v>
      </c>
      <c r="C99" s="1872"/>
      <c r="D99" s="1872"/>
      <c r="E99" s="1872">
        <v>603000</v>
      </c>
      <c r="F99" s="1872"/>
      <c r="G99" s="1872"/>
      <c r="H99" s="1872"/>
      <c r="I99" s="1873"/>
      <c r="J99" s="1873"/>
      <c r="K99" s="1873"/>
      <c r="L99" s="1873"/>
      <c r="M99" s="1873"/>
      <c r="N99" s="1777">
        <f>SUM(C99:M99)</f>
        <v>603000</v>
      </c>
      <c r="O99" s="353"/>
    </row>
    <row r="100" spans="1:43" s="94" customFormat="1" ht="0.15" customHeight="1" thickBot="1" x14ac:dyDescent="0.35">
      <c r="A100" s="1169"/>
      <c r="B100" s="1170" t="s">
        <v>357</v>
      </c>
      <c r="C100" s="1879"/>
      <c r="D100" s="1879"/>
      <c r="E100" s="1879">
        <f>SUM(E99)</f>
        <v>603000</v>
      </c>
      <c r="F100" s="1879"/>
      <c r="G100" s="1879"/>
      <c r="H100" s="1879"/>
      <c r="I100" s="1880"/>
      <c r="J100" s="1880"/>
      <c r="K100" s="1880"/>
      <c r="L100" s="1880"/>
      <c r="M100" s="1880"/>
      <c r="N100" s="1881">
        <f>SUM(C100:M100)</f>
        <v>603000</v>
      </c>
      <c r="O100" s="353"/>
    </row>
    <row r="101" spans="1:43" s="94" customFormat="1" ht="0.15" customHeight="1" x14ac:dyDescent="0.3">
      <c r="A101" s="500"/>
      <c r="B101" s="920"/>
      <c r="C101" s="1882"/>
      <c r="D101" s="1882"/>
      <c r="E101" s="1882"/>
      <c r="F101" s="1882"/>
      <c r="G101" s="1882"/>
      <c r="H101" s="1882"/>
      <c r="I101" s="1883"/>
      <c r="J101" s="1883"/>
      <c r="K101" s="1883"/>
      <c r="L101" s="1883"/>
      <c r="M101" s="1883"/>
      <c r="N101" s="1884"/>
      <c r="O101" s="353"/>
    </row>
    <row r="102" spans="1:43" s="94" customFormat="1" ht="15" customHeight="1" x14ac:dyDescent="0.3">
      <c r="A102" s="1200" t="s">
        <v>267</v>
      </c>
      <c r="B102" s="761" t="s">
        <v>113</v>
      </c>
      <c r="C102" s="1885"/>
      <c r="D102" s="1885"/>
      <c r="E102" s="1885"/>
      <c r="F102" s="1885"/>
      <c r="G102" s="1885"/>
      <c r="H102" s="1885"/>
      <c r="I102" s="1886"/>
      <c r="J102" s="1886"/>
      <c r="K102" s="1886"/>
      <c r="L102" s="1886"/>
      <c r="M102" s="1886"/>
      <c r="N102" s="1887"/>
      <c r="O102" s="353"/>
    </row>
    <row r="103" spans="1:43" s="739" customFormat="1" ht="15" customHeight="1" thickBot="1" x14ac:dyDescent="0.35">
      <c r="A103" s="352"/>
      <c r="B103" s="386" t="s">
        <v>356</v>
      </c>
      <c r="C103" s="1872"/>
      <c r="D103" s="1872"/>
      <c r="E103" s="1872">
        <v>1092000</v>
      </c>
      <c r="F103" s="1872"/>
      <c r="G103" s="1872"/>
      <c r="H103" s="1872"/>
      <c r="I103" s="1873"/>
      <c r="J103" s="1873"/>
      <c r="K103" s="1873"/>
      <c r="L103" s="1873"/>
      <c r="M103" s="1873"/>
      <c r="N103" s="1861">
        <f t="shared" si="6"/>
        <v>1092000</v>
      </c>
      <c r="O103" s="353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  <c r="AB103" s="94"/>
      <c r="AC103" s="94"/>
      <c r="AD103" s="94"/>
      <c r="AE103" s="94"/>
      <c r="AF103" s="94"/>
      <c r="AG103" s="94"/>
      <c r="AH103" s="94"/>
      <c r="AI103" s="94"/>
      <c r="AJ103" s="94"/>
      <c r="AK103" s="94"/>
      <c r="AL103" s="94"/>
      <c r="AM103" s="94"/>
      <c r="AN103" s="94"/>
      <c r="AO103" s="94"/>
      <c r="AP103" s="94"/>
      <c r="AQ103" s="94"/>
    </row>
    <row r="104" spans="1:43" s="94" customFormat="1" ht="0.15" customHeight="1" thickBot="1" x14ac:dyDescent="0.35">
      <c r="A104" s="1168"/>
      <c r="B104" s="1167" t="s">
        <v>357</v>
      </c>
      <c r="C104" s="1874"/>
      <c r="D104" s="1874"/>
      <c r="E104" s="1874"/>
      <c r="F104" s="1874"/>
      <c r="G104" s="1874"/>
      <c r="H104" s="1874"/>
      <c r="I104" s="1875"/>
      <c r="J104" s="1875"/>
      <c r="K104" s="1875"/>
      <c r="L104" s="1875"/>
      <c r="M104" s="1875"/>
      <c r="N104" s="1863">
        <f t="shared" si="6"/>
        <v>0</v>
      </c>
      <c r="O104" s="353"/>
    </row>
    <row r="105" spans="1:43" s="2069" customFormat="1" ht="0.15" customHeight="1" x14ac:dyDescent="0.3">
      <c r="A105" s="2375"/>
      <c r="B105" s="2372" t="s">
        <v>355</v>
      </c>
      <c r="C105" s="2376"/>
      <c r="D105" s="2376"/>
      <c r="E105" s="2376"/>
      <c r="F105" s="2376"/>
      <c r="G105" s="2376"/>
      <c r="H105" s="2376"/>
      <c r="I105" s="2377"/>
      <c r="J105" s="2377"/>
      <c r="K105" s="2377"/>
      <c r="L105" s="2377"/>
      <c r="M105" s="2377"/>
      <c r="N105" s="2374">
        <f t="shared" si="6"/>
        <v>0</v>
      </c>
      <c r="O105" s="2068"/>
    </row>
    <row r="106" spans="1:43" s="94" customFormat="1" ht="27.6" x14ac:dyDescent="0.3">
      <c r="A106" s="700" t="s">
        <v>268</v>
      </c>
      <c r="B106" s="752" t="s">
        <v>269</v>
      </c>
      <c r="C106" s="1870"/>
      <c r="D106" s="1870"/>
      <c r="E106" s="1870"/>
      <c r="F106" s="1870"/>
      <c r="G106" s="1870"/>
      <c r="H106" s="1870"/>
      <c r="I106" s="1871"/>
      <c r="J106" s="1871"/>
      <c r="K106" s="1871"/>
      <c r="L106" s="1871"/>
      <c r="M106" s="1871"/>
      <c r="N106" s="1860"/>
      <c r="O106" s="353"/>
    </row>
    <row r="107" spans="1:43" s="739" customFormat="1" ht="15" customHeight="1" thickBot="1" x14ac:dyDescent="0.35">
      <c r="A107" s="352"/>
      <c r="B107" s="386" t="s">
        <v>356</v>
      </c>
      <c r="C107" s="1872"/>
      <c r="D107" s="1872"/>
      <c r="E107" s="1872"/>
      <c r="F107" s="1872">
        <v>202000</v>
      </c>
      <c r="G107" s="1872"/>
      <c r="H107" s="1872"/>
      <c r="I107" s="1873"/>
      <c r="J107" s="1873"/>
      <c r="K107" s="1873"/>
      <c r="L107" s="1873"/>
      <c r="M107" s="1873"/>
      <c r="N107" s="1861">
        <f t="shared" si="6"/>
        <v>202000</v>
      </c>
      <c r="O107" s="353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94"/>
      <c r="AJ107" s="94"/>
      <c r="AK107" s="94"/>
      <c r="AL107" s="94"/>
      <c r="AM107" s="94"/>
      <c r="AN107" s="94"/>
      <c r="AO107" s="94"/>
      <c r="AP107" s="94"/>
      <c r="AQ107" s="94"/>
    </row>
    <row r="108" spans="1:43" s="94" customFormat="1" ht="0.15" customHeight="1" thickBot="1" x14ac:dyDescent="0.35">
      <c r="A108" s="1168"/>
      <c r="B108" s="1167" t="s">
        <v>357</v>
      </c>
      <c r="C108" s="1874"/>
      <c r="D108" s="1874"/>
      <c r="E108" s="1874"/>
      <c r="F108" s="1874">
        <f>SUM(F107)</f>
        <v>202000</v>
      </c>
      <c r="G108" s="1874"/>
      <c r="H108" s="1874"/>
      <c r="I108" s="1875"/>
      <c r="J108" s="1875"/>
      <c r="K108" s="1875"/>
      <c r="L108" s="1875"/>
      <c r="M108" s="1875"/>
      <c r="N108" s="1863">
        <f t="shared" si="6"/>
        <v>202000</v>
      </c>
      <c r="O108" s="353"/>
    </row>
    <row r="109" spans="1:43" s="2069" customFormat="1" ht="0.15" customHeight="1" x14ac:dyDescent="0.3">
      <c r="A109" s="2375"/>
      <c r="B109" s="2372" t="s">
        <v>355</v>
      </c>
      <c r="C109" s="2376"/>
      <c r="D109" s="2376"/>
      <c r="E109" s="2376"/>
      <c r="F109" s="2376"/>
      <c r="G109" s="2376"/>
      <c r="H109" s="2376"/>
      <c r="I109" s="2377"/>
      <c r="J109" s="2377"/>
      <c r="K109" s="2377"/>
      <c r="L109" s="2377"/>
      <c r="M109" s="2377"/>
      <c r="N109" s="2374">
        <f t="shared" si="6"/>
        <v>0</v>
      </c>
      <c r="O109" s="2068"/>
    </row>
    <row r="110" spans="1:43" s="94" customFormat="1" ht="13.8" x14ac:dyDescent="0.3">
      <c r="A110" s="700" t="s">
        <v>493</v>
      </c>
      <c r="B110" s="752" t="s">
        <v>494</v>
      </c>
      <c r="C110" s="1870"/>
      <c r="D110" s="1870"/>
      <c r="E110" s="1870"/>
      <c r="F110" s="1870"/>
      <c r="G110" s="1870"/>
      <c r="H110" s="1870"/>
      <c r="I110" s="1871"/>
      <c r="J110" s="1871"/>
      <c r="K110" s="1871"/>
      <c r="L110" s="1871"/>
      <c r="M110" s="1871"/>
      <c r="N110" s="1860"/>
      <c r="O110" s="353"/>
    </row>
    <row r="111" spans="1:43" s="739" customFormat="1" ht="15" customHeight="1" thickBot="1" x14ac:dyDescent="0.35">
      <c r="A111" s="352"/>
      <c r="B111" s="386" t="s">
        <v>356</v>
      </c>
      <c r="C111" s="1872"/>
      <c r="D111" s="1872"/>
      <c r="E111" s="1872"/>
      <c r="F111" s="1872"/>
      <c r="G111" s="1872"/>
      <c r="H111" s="1872"/>
      <c r="I111" s="1873"/>
      <c r="J111" s="1873"/>
      <c r="K111" s="1873"/>
      <c r="L111" s="1873"/>
      <c r="M111" s="1873"/>
      <c r="N111" s="1866">
        <f t="shared" si="6"/>
        <v>0</v>
      </c>
      <c r="O111" s="353"/>
      <c r="P111" s="94"/>
      <c r="Q111" s="94"/>
      <c r="R111" s="94"/>
      <c r="S111" s="94"/>
      <c r="T111" s="94"/>
      <c r="U111" s="94"/>
      <c r="V111" s="94"/>
      <c r="W111" s="94"/>
      <c r="X111" s="94"/>
      <c r="Y111" s="94"/>
      <c r="Z111" s="94"/>
      <c r="AA111" s="94"/>
      <c r="AB111" s="94"/>
      <c r="AC111" s="94"/>
      <c r="AD111" s="94"/>
      <c r="AE111" s="94"/>
      <c r="AF111" s="94"/>
      <c r="AG111" s="94"/>
      <c r="AH111" s="94"/>
      <c r="AI111" s="94"/>
      <c r="AJ111" s="94"/>
      <c r="AK111" s="94"/>
      <c r="AL111" s="94"/>
      <c r="AM111" s="94"/>
      <c r="AN111" s="94"/>
      <c r="AO111" s="94"/>
      <c r="AP111" s="94"/>
      <c r="AQ111" s="94"/>
    </row>
    <row r="112" spans="1:43" s="94" customFormat="1" ht="0.15" customHeight="1" thickBot="1" x14ac:dyDescent="0.35">
      <c r="A112" s="1168"/>
      <c r="B112" s="1167" t="s">
        <v>357</v>
      </c>
      <c r="C112" s="1874"/>
      <c r="D112" s="1874"/>
      <c r="E112" s="1874"/>
      <c r="F112" s="1874"/>
      <c r="G112" s="1874"/>
      <c r="H112" s="1874"/>
      <c r="I112" s="1875"/>
      <c r="J112" s="1875"/>
      <c r="K112" s="1875"/>
      <c r="L112" s="1875"/>
      <c r="M112" s="1875"/>
      <c r="N112" s="1861">
        <f t="shared" si="6"/>
        <v>0</v>
      </c>
      <c r="O112" s="353"/>
    </row>
    <row r="113" spans="1:43" s="2069" customFormat="1" ht="0.15" customHeight="1" x14ac:dyDescent="0.3">
      <c r="A113" s="2375"/>
      <c r="B113" s="2372" t="s">
        <v>355</v>
      </c>
      <c r="C113" s="2376"/>
      <c r="D113" s="2376"/>
      <c r="E113" s="2376"/>
      <c r="F113" s="2376"/>
      <c r="G113" s="2376"/>
      <c r="H113" s="2376"/>
      <c r="I113" s="2377"/>
      <c r="J113" s="2377"/>
      <c r="K113" s="2377"/>
      <c r="L113" s="2377"/>
      <c r="M113" s="2377"/>
      <c r="N113" s="2374">
        <f t="shared" si="6"/>
        <v>0</v>
      </c>
      <c r="O113" s="2068"/>
    </row>
    <row r="114" spans="1:43" s="94" customFormat="1" ht="15" customHeight="1" x14ac:dyDescent="0.3">
      <c r="A114" s="700" t="s">
        <v>270</v>
      </c>
      <c r="B114" s="752" t="s">
        <v>271</v>
      </c>
      <c r="C114" s="1870"/>
      <c r="D114" s="1870"/>
      <c r="E114" s="1870"/>
      <c r="F114" s="1870"/>
      <c r="G114" s="1870"/>
      <c r="H114" s="1870"/>
      <c r="I114" s="1871"/>
      <c r="J114" s="1871"/>
      <c r="K114" s="1871"/>
      <c r="L114" s="1871"/>
      <c r="M114" s="1871"/>
      <c r="N114" s="1860"/>
      <c r="O114" s="353"/>
    </row>
    <row r="115" spans="1:43" s="739" customFormat="1" ht="15" customHeight="1" thickBot="1" x14ac:dyDescent="0.35">
      <c r="A115" s="352"/>
      <c r="B115" s="386" t="s">
        <v>356</v>
      </c>
      <c r="C115" s="1872"/>
      <c r="D115" s="1872"/>
      <c r="E115" s="1872"/>
      <c r="F115" s="1872"/>
      <c r="G115" s="1872"/>
      <c r="H115" s="1872"/>
      <c r="I115" s="1873"/>
      <c r="J115" s="1873"/>
      <c r="K115" s="1873"/>
      <c r="L115" s="1873"/>
      <c r="M115" s="1873"/>
      <c r="N115" s="1861">
        <f t="shared" si="6"/>
        <v>0</v>
      </c>
      <c r="O115" s="353"/>
      <c r="P115" s="94"/>
      <c r="Q115" s="94"/>
      <c r="R115" s="94"/>
      <c r="S115" s="94"/>
      <c r="T115" s="94"/>
      <c r="U115" s="94"/>
      <c r="V115" s="94"/>
      <c r="W115" s="94"/>
      <c r="X115" s="94"/>
      <c r="Y115" s="94"/>
      <c r="Z115" s="94"/>
      <c r="AA115" s="94"/>
      <c r="AB115" s="94"/>
      <c r="AC115" s="94"/>
      <c r="AD115" s="94"/>
      <c r="AE115" s="94"/>
      <c r="AF115" s="94"/>
      <c r="AG115" s="94"/>
      <c r="AH115" s="94"/>
      <c r="AI115" s="94"/>
      <c r="AJ115" s="94"/>
      <c r="AK115" s="94"/>
      <c r="AL115" s="94"/>
      <c r="AM115" s="94"/>
      <c r="AN115" s="94"/>
      <c r="AO115" s="94"/>
      <c r="AP115" s="94"/>
      <c r="AQ115" s="94"/>
    </row>
    <row r="116" spans="1:43" s="94" customFormat="1" ht="0.15" customHeight="1" thickBot="1" x14ac:dyDescent="0.35">
      <c r="A116" s="1168"/>
      <c r="B116" s="1167" t="s">
        <v>357</v>
      </c>
      <c r="C116" s="1874"/>
      <c r="D116" s="1874"/>
      <c r="E116" s="1874"/>
      <c r="F116" s="1874">
        <f>SUM(F115)</f>
        <v>0</v>
      </c>
      <c r="G116" s="1874"/>
      <c r="H116" s="1874"/>
      <c r="I116" s="1875"/>
      <c r="J116" s="1875"/>
      <c r="K116" s="1875"/>
      <c r="L116" s="1875"/>
      <c r="M116" s="1875"/>
      <c r="N116" s="1863">
        <f t="shared" si="6"/>
        <v>0</v>
      </c>
      <c r="O116" s="353"/>
    </row>
    <row r="117" spans="1:43" s="2069" customFormat="1" ht="0.15" customHeight="1" x14ac:dyDescent="0.3">
      <c r="A117" s="2375"/>
      <c r="B117" s="2372" t="s">
        <v>355</v>
      </c>
      <c r="C117" s="2376"/>
      <c r="D117" s="2376"/>
      <c r="E117" s="2376"/>
      <c r="F117" s="2376"/>
      <c r="G117" s="2376"/>
      <c r="H117" s="2376"/>
      <c r="I117" s="2377"/>
      <c r="J117" s="2377"/>
      <c r="K117" s="2377"/>
      <c r="L117" s="2377"/>
      <c r="M117" s="2377"/>
      <c r="N117" s="2374">
        <f t="shared" si="6"/>
        <v>0</v>
      </c>
      <c r="O117" s="2068"/>
    </row>
    <row r="118" spans="1:43" s="94" customFormat="1" ht="15" customHeight="1" x14ac:dyDescent="0.3">
      <c r="A118" s="700" t="s">
        <v>435</v>
      </c>
      <c r="B118" s="385" t="s">
        <v>436</v>
      </c>
      <c r="C118" s="1870"/>
      <c r="D118" s="1870"/>
      <c r="E118" s="1870"/>
      <c r="F118" s="1870"/>
      <c r="G118" s="1870"/>
      <c r="H118" s="1870"/>
      <c r="I118" s="1871"/>
      <c r="J118" s="1871"/>
      <c r="K118" s="1871"/>
      <c r="L118" s="1871"/>
      <c r="M118" s="1871"/>
      <c r="N118" s="1860"/>
      <c r="O118" s="353"/>
    </row>
    <row r="119" spans="1:43" s="739" customFormat="1" ht="15" customHeight="1" thickBot="1" x14ac:dyDescent="0.35">
      <c r="A119" s="352"/>
      <c r="B119" s="386" t="s">
        <v>356</v>
      </c>
      <c r="C119" s="1872">
        <v>24000</v>
      </c>
      <c r="D119" s="1872"/>
      <c r="E119" s="1872"/>
      <c r="F119" s="1872"/>
      <c r="G119" s="1872"/>
      <c r="H119" s="1872"/>
      <c r="I119" s="1873"/>
      <c r="J119" s="1873"/>
      <c r="K119" s="1873"/>
      <c r="L119" s="1873"/>
      <c r="M119" s="1873"/>
      <c r="N119" s="1861">
        <f>SUM(C119:M119)</f>
        <v>24000</v>
      </c>
      <c r="O119" s="353"/>
      <c r="P119" s="94"/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  <c r="AB119" s="94"/>
      <c r="AC119" s="94"/>
      <c r="AD119" s="94"/>
      <c r="AE119" s="94"/>
      <c r="AF119" s="94"/>
      <c r="AG119" s="94"/>
      <c r="AH119" s="94"/>
      <c r="AI119" s="94"/>
      <c r="AJ119" s="94"/>
      <c r="AK119" s="94"/>
      <c r="AL119" s="94"/>
      <c r="AM119" s="94"/>
      <c r="AN119" s="94"/>
      <c r="AO119" s="94"/>
      <c r="AP119" s="94"/>
      <c r="AQ119" s="94"/>
    </row>
    <row r="120" spans="1:43" s="94" customFormat="1" ht="0.15" customHeight="1" thickBot="1" x14ac:dyDescent="0.35">
      <c r="A120" s="1168"/>
      <c r="B120" s="1167" t="s">
        <v>357</v>
      </c>
      <c r="C120" s="1874">
        <f>SUM(C119)</f>
        <v>24000</v>
      </c>
      <c r="D120" s="1874"/>
      <c r="E120" s="1874"/>
      <c r="F120" s="1874"/>
      <c r="G120" s="1874"/>
      <c r="H120" s="1874"/>
      <c r="I120" s="1875"/>
      <c r="J120" s="1875"/>
      <c r="K120" s="1875"/>
      <c r="L120" s="1875"/>
      <c r="M120" s="1875"/>
      <c r="N120" s="1863">
        <f>SUM(C120:M120)</f>
        <v>24000</v>
      </c>
      <c r="O120" s="353"/>
    </row>
    <row r="121" spans="1:43" s="2069" customFormat="1" ht="0.15" customHeight="1" x14ac:dyDescent="0.3">
      <c r="A121" s="2375"/>
      <c r="B121" s="2372" t="s">
        <v>355</v>
      </c>
      <c r="C121" s="2376"/>
      <c r="D121" s="2376"/>
      <c r="E121" s="2376"/>
      <c r="F121" s="2376"/>
      <c r="G121" s="2376"/>
      <c r="H121" s="2376"/>
      <c r="I121" s="2377"/>
      <c r="J121" s="2377"/>
      <c r="K121" s="2377"/>
      <c r="L121" s="2377"/>
      <c r="M121" s="2377"/>
      <c r="N121" s="2374">
        <f>SUM(C121:L121)</f>
        <v>0</v>
      </c>
      <c r="O121" s="2068"/>
    </row>
    <row r="122" spans="1:43" s="94" customFormat="1" ht="28.5" customHeight="1" x14ac:dyDescent="0.3">
      <c r="A122" s="700" t="s">
        <v>272</v>
      </c>
      <c r="B122" s="752" t="s">
        <v>273</v>
      </c>
      <c r="C122" s="1870"/>
      <c r="D122" s="1870"/>
      <c r="E122" s="1870"/>
      <c r="F122" s="1870"/>
      <c r="G122" s="1870"/>
      <c r="H122" s="1870"/>
      <c r="I122" s="1871"/>
      <c r="J122" s="1871"/>
      <c r="K122" s="1871"/>
      <c r="L122" s="1871"/>
      <c r="M122" s="1871"/>
      <c r="N122" s="1860"/>
      <c r="O122" s="353"/>
    </row>
    <row r="123" spans="1:43" s="739" customFormat="1" ht="15" customHeight="1" thickBot="1" x14ac:dyDescent="0.35">
      <c r="A123" s="352"/>
      <c r="B123" s="386" t="s">
        <v>356</v>
      </c>
      <c r="C123" s="1872"/>
      <c r="D123" s="1872"/>
      <c r="E123" s="1872"/>
      <c r="F123" s="1872">
        <f>22036000-390000</f>
        <v>21646000</v>
      </c>
      <c r="G123" s="1872"/>
      <c r="H123" s="1872"/>
      <c r="I123" s="1873">
        <f>'6.b.sz.melléklet'!B31</f>
        <v>390000</v>
      </c>
      <c r="J123" s="1873"/>
      <c r="K123" s="1873"/>
      <c r="L123" s="1873"/>
      <c r="M123" s="1873"/>
      <c r="N123" s="1861">
        <f t="shared" ref="N123:N131" si="8">SUM(C123:M123)</f>
        <v>22036000</v>
      </c>
      <c r="O123" s="353"/>
      <c r="P123" s="94"/>
      <c r="Q123" s="94"/>
      <c r="R123" s="94"/>
      <c r="S123" s="94"/>
      <c r="T123" s="94"/>
      <c r="U123" s="94"/>
      <c r="V123" s="94"/>
      <c r="W123" s="94"/>
      <c r="X123" s="94"/>
      <c r="Y123" s="94"/>
      <c r="Z123" s="94"/>
      <c r="AA123" s="94"/>
      <c r="AB123" s="94"/>
      <c r="AC123" s="94"/>
      <c r="AD123" s="94"/>
      <c r="AE123" s="94"/>
      <c r="AF123" s="94"/>
      <c r="AG123" s="94"/>
      <c r="AH123" s="94"/>
      <c r="AI123" s="94"/>
      <c r="AJ123" s="94"/>
      <c r="AK123" s="94"/>
      <c r="AL123" s="94"/>
      <c r="AM123" s="94"/>
      <c r="AN123" s="94"/>
      <c r="AO123" s="94"/>
      <c r="AP123" s="94"/>
      <c r="AQ123" s="94"/>
    </row>
    <row r="124" spans="1:43" s="94" customFormat="1" ht="0.15" customHeight="1" thickBot="1" x14ac:dyDescent="0.35">
      <c r="A124" s="1168"/>
      <c r="B124" s="1167" t="s">
        <v>357</v>
      </c>
      <c r="C124" s="1874"/>
      <c r="D124" s="1874"/>
      <c r="E124" s="1874"/>
      <c r="F124" s="1874">
        <f>SUM(F123)+3762</f>
        <v>21649762</v>
      </c>
      <c r="G124" s="1874"/>
      <c r="H124" s="1874"/>
      <c r="I124" s="1875"/>
      <c r="J124" s="1875"/>
      <c r="K124" s="1875"/>
      <c r="L124" s="1875"/>
      <c r="M124" s="1875"/>
      <c r="N124" s="1863">
        <f t="shared" si="8"/>
        <v>21649762</v>
      </c>
      <c r="O124" s="353"/>
    </row>
    <row r="125" spans="1:43" s="2069" customFormat="1" ht="0.15" customHeight="1" x14ac:dyDescent="0.3">
      <c r="A125" s="2375"/>
      <c r="B125" s="2372" t="s">
        <v>355</v>
      </c>
      <c r="C125" s="2376"/>
      <c r="D125" s="2376"/>
      <c r="E125" s="2376"/>
      <c r="F125" s="2376"/>
      <c r="G125" s="2376"/>
      <c r="H125" s="2376"/>
      <c r="I125" s="2377"/>
      <c r="J125" s="2377"/>
      <c r="K125" s="2377"/>
      <c r="L125" s="2377"/>
      <c r="M125" s="2377"/>
      <c r="N125" s="2374">
        <f t="shared" si="8"/>
        <v>0</v>
      </c>
      <c r="O125" s="2068"/>
    </row>
    <row r="126" spans="1:43" s="94" customFormat="1" ht="15" customHeight="1" x14ac:dyDescent="0.3">
      <c r="A126" s="700" t="s">
        <v>278</v>
      </c>
      <c r="B126" s="752" t="s">
        <v>109</v>
      </c>
      <c r="C126" s="1870"/>
      <c r="D126" s="1870"/>
      <c r="E126" s="1870"/>
      <c r="F126" s="1870"/>
      <c r="G126" s="1870"/>
      <c r="H126" s="1870"/>
      <c r="I126" s="1871"/>
      <c r="J126" s="1871"/>
      <c r="K126" s="1871"/>
      <c r="L126" s="1871"/>
      <c r="M126" s="1871"/>
      <c r="N126" s="1860"/>
      <c r="O126" s="353"/>
    </row>
    <row r="127" spans="1:43" s="739" customFormat="1" ht="15" customHeight="1" thickBot="1" x14ac:dyDescent="0.35">
      <c r="A127" s="352"/>
      <c r="B127" s="386" t="s">
        <v>356</v>
      </c>
      <c r="C127" s="1872"/>
      <c r="D127" s="1872"/>
      <c r="E127" s="1872"/>
      <c r="F127" s="1872"/>
      <c r="G127" s="1872"/>
      <c r="H127" s="1872"/>
      <c r="I127" s="1873"/>
      <c r="J127" s="1873"/>
      <c r="K127" s="1873"/>
      <c r="L127" s="1873"/>
      <c r="M127" s="1873">
        <v>100000000</v>
      </c>
      <c r="N127" s="1861">
        <f t="shared" si="8"/>
        <v>100000000</v>
      </c>
      <c r="O127" s="353"/>
      <c r="P127" s="94"/>
      <c r="Q127" s="94"/>
      <c r="R127" s="94"/>
      <c r="S127" s="94"/>
      <c r="T127" s="94"/>
      <c r="U127" s="94"/>
      <c r="V127" s="94"/>
      <c r="W127" s="94"/>
      <c r="X127" s="94"/>
      <c r="Y127" s="94"/>
      <c r="Z127" s="94"/>
      <c r="AA127" s="94"/>
      <c r="AB127" s="94"/>
      <c r="AC127" s="94"/>
      <c r="AD127" s="94"/>
      <c r="AE127" s="94"/>
      <c r="AF127" s="94"/>
      <c r="AG127" s="94"/>
      <c r="AH127" s="94"/>
      <c r="AI127" s="94"/>
      <c r="AJ127" s="94"/>
      <c r="AK127" s="94"/>
      <c r="AL127" s="94"/>
      <c r="AM127" s="94"/>
      <c r="AN127" s="94"/>
      <c r="AO127" s="94"/>
      <c r="AP127" s="94"/>
      <c r="AQ127" s="94"/>
    </row>
    <row r="128" spans="1:43" s="94" customFormat="1" ht="0.15" customHeight="1" thickBot="1" x14ac:dyDescent="0.35">
      <c r="A128" s="1168"/>
      <c r="B128" s="1167" t="s">
        <v>357</v>
      </c>
      <c r="C128" s="1874"/>
      <c r="D128" s="1874"/>
      <c r="E128" s="1874"/>
      <c r="F128" s="1874"/>
      <c r="G128" s="1874"/>
      <c r="H128" s="1874"/>
      <c r="I128" s="1875"/>
      <c r="J128" s="1875"/>
      <c r="K128" s="1875"/>
      <c r="L128" s="1875"/>
      <c r="M128" s="1875">
        <f>44670+86905+17175</f>
        <v>148750</v>
      </c>
      <c r="N128" s="1863">
        <f t="shared" si="8"/>
        <v>148750</v>
      </c>
      <c r="O128" s="353"/>
    </row>
    <row r="129" spans="1:18" s="2069" customFormat="1" ht="0.15" customHeight="1" x14ac:dyDescent="0.3">
      <c r="A129" s="2375"/>
      <c r="B129" s="2372" t="s">
        <v>355</v>
      </c>
      <c r="C129" s="2376"/>
      <c r="D129" s="2376"/>
      <c r="E129" s="2376"/>
      <c r="F129" s="2376"/>
      <c r="G129" s="2376"/>
      <c r="H129" s="2376"/>
      <c r="I129" s="2377"/>
      <c r="J129" s="2377"/>
      <c r="K129" s="2377"/>
      <c r="L129" s="2377"/>
      <c r="M129" s="2377"/>
      <c r="N129" s="2374">
        <f t="shared" si="8"/>
        <v>0</v>
      </c>
      <c r="O129" s="2068"/>
    </row>
    <row r="130" spans="1:18" s="94" customFormat="1" ht="0.15" customHeight="1" thickBot="1" x14ac:dyDescent="0.35">
      <c r="A130" s="352"/>
      <c r="B130" s="386" t="s">
        <v>357</v>
      </c>
      <c r="C130" s="1888"/>
      <c r="D130" s="1872"/>
      <c r="E130" s="1872"/>
      <c r="F130" s="1872"/>
      <c r="G130" s="1872"/>
      <c r="H130" s="1872"/>
      <c r="I130" s="1873"/>
      <c r="J130" s="1873"/>
      <c r="K130" s="1873"/>
      <c r="L130" s="1873"/>
      <c r="M130" s="1873"/>
      <c r="N130" s="1861">
        <f t="shared" si="8"/>
        <v>0</v>
      </c>
      <c r="O130" s="353"/>
    </row>
    <row r="131" spans="1:18" s="2069" customFormat="1" ht="0.15" customHeight="1" thickBot="1" x14ac:dyDescent="0.35">
      <c r="A131" s="2384"/>
      <c r="B131" s="2385" t="s">
        <v>355</v>
      </c>
      <c r="C131" s="2386"/>
      <c r="D131" s="2387"/>
      <c r="E131" s="2387"/>
      <c r="F131" s="2387"/>
      <c r="G131" s="2387"/>
      <c r="H131" s="2387"/>
      <c r="I131" s="2388"/>
      <c r="J131" s="2388"/>
      <c r="K131" s="2388"/>
      <c r="L131" s="2388"/>
      <c r="M131" s="2388"/>
      <c r="N131" s="2374">
        <f t="shared" si="8"/>
        <v>0</v>
      </c>
      <c r="O131" s="2068"/>
    </row>
    <row r="132" spans="1:18" s="94" customFormat="1" ht="21" customHeight="1" thickBot="1" x14ac:dyDescent="0.35">
      <c r="A132" s="2399"/>
      <c r="B132" s="2400" t="s">
        <v>419</v>
      </c>
      <c r="C132" s="2401">
        <f>C6+C10+C21+C25+C29+C33+C37+C41+C45+C49+C57+C61+C65+C69+C73+C77+C81+C85+C89+C93+C103+C107+C111+C115++C123+C127+C53+C119+C14+C99+C17+C97</f>
        <v>47666000</v>
      </c>
      <c r="D132" s="2401">
        <f t="shared" ref="D132:M132" si="9">D6+D10+D21+D25+D29+D33+D37+D41+D45+D49+D57+D61+D65+D69+D73+D77+D81+D85+D89+D93+D103+D107+D111+D115++D123+D127+D53+D119+D14+D99+D17+D97</f>
        <v>11771000</v>
      </c>
      <c r="E132" s="2401">
        <f t="shared" si="9"/>
        <v>186435693</v>
      </c>
      <c r="F132" s="2401">
        <f t="shared" si="9"/>
        <v>21848000</v>
      </c>
      <c r="G132" s="2401">
        <f t="shared" si="9"/>
        <v>294039503</v>
      </c>
      <c r="H132" s="2401">
        <f t="shared" si="9"/>
        <v>897562627</v>
      </c>
      <c r="I132" s="2401">
        <f t="shared" si="9"/>
        <v>111248760</v>
      </c>
      <c r="J132" s="2401">
        <f t="shared" si="9"/>
        <v>6127431</v>
      </c>
      <c r="K132" s="2401">
        <f t="shared" si="9"/>
        <v>3461428</v>
      </c>
      <c r="L132" s="2401">
        <f t="shared" si="9"/>
        <v>77670856</v>
      </c>
      <c r="M132" s="2401">
        <f t="shared" si="9"/>
        <v>552696365</v>
      </c>
      <c r="N132" s="2401">
        <f>N6+N10+N21+N25+N29+N33+N37+N41+N45+N49+N57+N61+N65+N69+N73+N77+N81+N85+N89+N93+N103+N107+N111+N115++N123+N127+N53+N119+N14+N99+N17+N97</f>
        <v>2210527663</v>
      </c>
      <c r="O132" s="746"/>
      <c r="P132" s="740"/>
    </row>
    <row r="133" spans="1:18" s="94" customFormat="1" ht="0.15" customHeight="1" x14ac:dyDescent="0.3">
      <c r="A133" s="1171"/>
      <c r="B133" s="387" t="s">
        <v>366</v>
      </c>
      <c r="C133" s="388">
        <f t="shared" ref="C133:N133" si="10">C7+C11+C22+C26+C30+C34+C38+C42+C46+C50+C58+C62+C66+C70+C74+C78+C82+C86+C90+C94+C104+C108+C112+C116++C124+C128+C130+C54+C120+C15+C100+C18</f>
        <v>47666108</v>
      </c>
      <c r="D133" s="388">
        <f t="shared" si="10"/>
        <v>11771029</v>
      </c>
      <c r="E133" s="388">
        <f t="shared" si="10"/>
        <v>120146892</v>
      </c>
      <c r="F133" s="388">
        <f t="shared" si="10"/>
        <v>21851762</v>
      </c>
      <c r="G133" s="388">
        <f t="shared" si="10"/>
        <v>294038302</v>
      </c>
      <c r="H133" s="388">
        <f t="shared" si="10"/>
        <v>445216190</v>
      </c>
      <c r="I133" s="388">
        <f t="shared" si="10"/>
        <v>79862511</v>
      </c>
      <c r="J133" s="388">
        <f t="shared" si="10"/>
        <v>6150195</v>
      </c>
      <c r="K133" s="388">
        <f t="shared" si="10"/>
        <v>42432</v>
      </c>
      <c r="L133" s="388">
        <f t="shared" si="10"/>
        <v>20400</v>
      </c>
      <c r="M133" s="388">
        <f t="shared" si="10"/>
        <v>452854204</v>
      </c>
      <c r="N133" s="388">
        <f t="shared" si="10"/>
        <v>1479620025</v>
      </c>
      <c r="O133" s="746">
        <v>1642801</v>
      </c>
      <c r="P133" s="329">
        <f>SUM(C133:M133)</f>
        <v>1479620025</v>
      </c>
    </row>
    <row r="134" spans="1:18" s="2053" customFormat="1" ht="0.15" customHeight="1" x14ac:dyDescent="0.3">
      <c r="A134" s="2389"/>
      <c r="B134" s="2390" t="s">
        <v>355</v>
      </c>
      <c r="C134" s="2391" t="e">
        <f>C8+C12+C23+C27+C31+C35+C39+C43+C47+C51+#REF!+C59+C63+C67+C71+C75+#REF!+C79+C83+C87+C91+#REF!+#REF!+#REF!+C95+C105+C109+C113+C117+#REF!+C125+C129+C131+C55+C121</f>
        <v>#REF!</v>
      </c>
      <c r="D134" s="2391" t="e">
        <f>D8+D12+D23+D27+D31+D35+D39+D43+D47+D51+#REF!+D59+D63+D67+D71+D75+#REF!+D79+D83+D87+D91+#REF!+#REF!+#REF!+D95+D105+D109+D113+D117+#REF!+D125+D129+D131+D55</f>
        <v>#REF!</v>
      </c>
      <c r="E134" s="2391" t="e">
        <f>E8+E12+E23+E27+E31+E35+E39+E43+E47+E51+#REF!+E59+E63+E67+E71+E75+#REF!+E79+E83+E87+E91+#REF!+#REF!+#REF!+E95+E105+E109+E113+E117+#REF!+E125+E129+E131+E55+#REF!+#REF!</f>
        <v>#REF!</v>
      </c>
      <c r="F134" s="2391" t="e">
        <f>F8+F12+F23+F27+F31+F35+F39+F43+F47+F51+#REF!+F59+F63+F67+F71+F75+#REF!+F79+F83+F87+F91+#REF!+#REF!+#REF!+F95+F105+F109+F113+F117+#REF!+F125+F129+F131+F55</f>
        <v>#REF!</v>
      </c>
      <c r="G134" s="2391" t="e">
        <f>G8+G12+G23+G27+G31+G35+G39+G43+G47+G51+#REF!+G59+G63+G67+G71+G75+#REF!+G79+G83+G87+G91+#REF!+#REF!+#REF!+G95+G105+G109+G113+G117+#REF!+G125+G129+G131+G55</f>
        <v>#REF!</v>
      </c>
      <c r="H134" s="2391" t="e">
        <f>H8+H12+H23+H27+H31+H35+H39+H43+H47+H51+#REF!+H59+H63+H67+H71+H75+#REF!+H79+H83+H87+H91+#REF!+#REF!+#REF!+H95+H105+H109+H113+H117+#REF!+H125+H129+H131+H55</f>
        <v>#REF!</v>
      </c>
      <c r="I134" s="2391" t="e">
        <f>I8+I12+I23+I27+I31+I35+I39+I43+I47+I51+#REF!+I59+I63+I67+I71+I75+#REF!+I79+I83+I87+I91+#REF!+#REF!+#REF!+I95+I105+I109+I113+I117+#REF!+I125+I129+I131+I55+#REF!</f>
        <v>#REF!</v>
      </c>
      <c r="J134" s="2391" t="e">
        <f>J8+J12+J23+J27+J31+J35+J39+J43+J47+J51+#REF!+J59+J63+J67+J71+J75+#REF!+J79+J83+J87+J91+#REF!+#REF!+#REF!+J95+J105+J109+J113+J117+#REF!+J125+J129+J131+J55</f>
        <v>#REF!</v>
      </c>
      <c r="K134" s="2391" t="e">
        <f>K8+K12+K23+K27+K31+K35+K39+K43+K47+K51+#REF!+K59+K63+K67+K71+K75+#REF!+K79+K83+K87+K91+#REF!+#REF!+#REF!+K95+K105+K109+K113+K117+#REF!+K125+K129+K131+K55</f>
        <v>#REF!</v>
      </c>
      <c r="L134" s="2391" t="e">
        <f>L8+L12+L23+L27+L31+L35+L39+L43+L47+L51+#REF!+L59+L63+L67+L71+L75+#REF!+L79+L83+L87+L91+#REF!+#REF!+#REF!+L95+L105+L109+L113+L117+#REF!+L125+L129+L131+L55</f>
        <v>#REF!</v>
      </c>
      <c r="M134" s="2391" t="e">
        <f>M8+M12+M23+M27+M31+M35+M39+M43+M47+M51+#REF!+M59+M63+M67+M71+M75+#REF!+M79+M83+M87+M91+#REF!+#REF!+#REF!+M95+M105+M109+M113+M117+#REF!+M125+M129+M131+M55+#REF!</f>
        <v>#REF!</v>
      </c>
      <c r="N134" s="2392" t="e">
        <f>N8+N12+N23+N27+N31+N35+N39+N43+N47+N51+#REF!+N59+N63+N67+N71+N75+#REF!+N79+N83+N87+N91+#REF!+#REF!+#REF!+N95+N105+N109+N113+N117+#REF!+N125+N129+N131+N55+#REF!+#REF!+N121</f>
        <v>#REF!</v>
      </c>
      <c r="O134" s="2393"/>
      <c r="P134" s="2394" t="e">
        <f>SUM(C134:M134)</f>
        <v>#REF!</v>
      </c>
      <c r="Q134" s="2109"/>
      <c r="R134" s="2109"/>
    </row>
    <row r="135" spans="1:18" s="2053" customFormat="1" ht="0.15" customHeight="1" thickBot="1" x14ac:dyDescent="0.35">
      <c r="A135" s="2395"/>
      <c r="B135" s="2396" t="s">
        <v>429</v>
      </c>
      <c r="C135" s="2397" t="e">
        <f>SUM(C134/C133)</f>
        <v>#REF!</v>
      </c>
      <c r="D135" s="2397" t="e">
        <f t="shared" ref="D135:N135" si="11">SUM(D134/D133)</f>
        <v>#REF!</v>
      </c>
      <c r="E135" s="2397" t="e">
        <f t="shared" si="11"/>
        <v>#REF!</v>
      </c>
      <c r="F135" s="2397" t="e">
        <f t="shared" si="11"/>
        <v>#REF!</v>
      </c>
      <c r="G135" s="2397" t="e">
        <f t="shared" si="11"/>
        <v>#REF!</v>
      </c>
      <c r="H135" s="2397" t="e">
        <f t="shared" si="11"/>
        <v>#REF!</v>
      </c>
      <c r="I135" s="2397" t="e">
        <f t="shared" si="11"/>
        <v>#REF!</v>
      </c>
      <c r="J135" s="2397" t="e">
        <f t="shared" si="11"/>
        <v>#REF!</v>
      </c>
      <c r="K135" s="2397" t="e">
        <f t="shared" si="11"/>
        <v>#REF!</v>
      </c>
      <c r="L135" s="2397" t="e">
        <f t="shared" si="11"/>
        <v>#REF!</v>
      </c>
      <c r="M135" s="2397" t="e">
        <f t="shared" si="11"/>
        <v>#REF!</v>
      </c>
      <c r="N135" s="2398" t="e">
        <f t="shared" si="11"/>
        <v>#REF!</v>
      </c>
      <c r="O135" s="2393"/>
      <c r="P135" s="2109"/>
      <c r="Q135" s="2109"/>
      <c r="R135" s="2109"/>
    </row>
    <row r="136" spans="1:18" ht="15" hidden="1" customHeight="1" thickBot="1" x14ac:dyDescent="0.35">
      <c r="A136" s="1201"/>
      <c r="B136" s="389"/>
      <c r="C136" s="491"/>
      <c r="D136" s="491"/>
      <c r="E136" s="491"/>
      <c r="F136" s="491"/>
      <c r="G136" s="491"/>
      <c r="H136" s="491"/>
      <c r="I136" s="491"/>
      <c r="J136" s="491"/>
      <c r="K136" s="491"/>
      <c r="L136" s="491"/>
      <c r="M136" s="491"/>
      <c r="N136" s="1202"/>
    </row>
    <row r="137" spans="1:18" ht="15" customHeight="1" x14ac:dyDescent="0.25">
      <c r="C137" s="405"/>
      <c r="D137" s="405"/>
      <c r="E137" s="405"/>
      <c r="F137" s="405"/>
      <c r="G137" s="405"/>
      <c r="H137" s="405"/>
      <c r="I137" s="405"/>
      <c r="J137" s="405"/>
      <c r="K137" s="405"/>
      <c r="L137" s="405"/>
      <c r="M137" s="405"/>
      <c r="N137" s="1204"/>
      <c r="O137" s="138"/>
    </row>
    <row r="138" spans="1:18" ht="15" customHeight="1" x14ac:dyDescent="0.25">
      <c r="C138" s="405"/>
      <c r="D138" s="405"/>
      <c r="E138" s="405"/>
      <c r="F138" s="405"/>
      <c r="G138" s="405"/>
      <c r="H138" s="405"/>
      <c r="I138" s="405"/>
      <c r="J138" s="405"/>
      <c r="K138" s="405"/>
      <c r="L138" s="405"/>
      <c r="M138" s="405"/>
      <c r="N138" s="405"/>
      <c r="O138" s="138"/>
    </row>
    <row r="139" spans="1:18" x14ac:dyDescent="0.25">
      <c r="C139" s="405"/>
      <c r="D139" s="405"/>
      <c r="E139" s="405"/>
      <c r="F139" s="405"/>
      <c r="G139" s="405"/>
      <c r="H139" s="405"/>
      <c r="I139" s="405"/>
      <c r="J139" s="405"/>
      <c r="K139" s="405"/>
      <c r="L139" s="405"/>
      <c r="M139" s="405"/>
      <c r="N139" s="405"/>
      <c r="O139" s="138"/>
    </row>
    <row r="140" spans="1:18" x14ac:dyDescent="0.25">
      <c r="C140" s="405"/>
      <c r="D140" s="405"/>
      <c r="E140" s="405"/>
      <c r="F140" s="405"/>
      <c r="G140" s="405"/>
      <c r="H140" s="405"/>
      <c r="I140" s="405"/>
      <c r="J140" s="405"/>
      <c r="K140" s="405"/>
      <c r="L140" s="405"/>
      <c r="M140" s="405"/>
      <c r="N140" s="405"/>
      <c r="O140" s="138"/>
    </row>
    <row r="141" spans="1:18" x14ac:dyDescent="0.25">
      <c r="C141" s="405"/>
      <c r="D141" s="405"/>
      <c r="E141" s="405"/>
      <c r="F141" s="405"/>
      <c r="G141" s="405"/>
      <c r="H141" s="405"/>
      <c r="I141" s="405"/>
      <c r="J141" s="405"/>
      <c r="K141" s="405"/>
      <c r="L141" s="405"/>
      <c r="M141" s="405"/>
      <c r="N141" s="405"/>
      <c r="O141" s="138"/>
    </row>
    <row r="142" spans="1:18" x14ac:dyDescent="0.25">
      <c r="C142" s="405"/>
      <c r="D142" s="405"/>
      <c r="E142" s="405"/>
      <c r="F142" s="405"/>
      <c r="G142" s="405"/>
      <c r="H142" s="405"/>
      <c r="I142" s="405"/>
      <c r="J142" s="405"/>
      <c r="K142" s="405"/>
      <c r="L142" s="405"/>
      <c r="M142" s="405"/>
      <c r="N142" s="405"/>
      <c r="O142" s="138"/>
    </row>
    <row r="143" spans="1:18" x14ac:dyDescent="0.25">
      <c r="C143" s="405"/>
      <c r="D143" s="405"/>
      <c r="E143" s="405"/>
      <c r="F143" s="405"/>
      <c r="G143" s="405"/>
      <c r="H143" s="405"/>
      <c r="I143" s="405"/>
      <c r="J143" s="405"/>
      <c r="K143" s="405"/>
      <c r="L143" s="405"/>
      <c r="M143" s="405"/>
      <c r="N143" s="405"/>
      <c r="O143" s="138"/>
    </row>
    <row r="144" spans="1:18" x14ac:dyDescent="0.25">
      <c r="C144" s="405"/>
      <c r="D144" s="405"/>
      <c r="E144" s="405"/>
      <c r="F144" s="405"/>
      <c r="G144" s="405"/>
      <c r="H144" s="405"/>
      <c r="I144" s="405"/>
      <c r="J144" s="405"/>
      <c r="K144" s="405"/>
      <c r="L144" s="405"/>
      <c r="M144" s="405"/>
      <c r="N144" s="405"/>
      <c r="O144" s="138"/>
    </row>
    <row r="145" spans="3:15" x14ac:dyDescent="0.25">
      <c r="C145" s="405"/>
      <c r="D145" s="405"/>
      <c r="E145" s="405"/>
      <c r="F145" s="405"/>
      <c r="G145" s="405"/>
      <c r="H145" s="405"/>
      <c r="I145" s="405"/>
      <c r="J145" s="405"/>
      <c r="K145" s="405"/>
      <c r="L145" s="405"/>
      <c r="M145" s="405"/>
      <c r="N145" s="405"/>
      <c r="O145" s="138"/>
    </row>
    <row r="146" spans="3:15" x14ac:dyDescent="0.25">
      <c r="C146" s="405"/>
      <c r="D146" s="405"/>
      <c r="E146" s="405"/>
      <c r="F146" s="405"/>
      <c r="G146" s="405"/>
      <c r="H146" s="405"/>
      <c r="I146" s="405"/>
      <c r="J146" s="405"/>
      <c r="K146" s="405"/>
      <c r="L146" s="405"/>
      <c r="M146" s="405"/>
      <c r="N146" s="405"/>
      <c r="O146" s="138"/>
    </row>
    <row r="147" spans="3:15" x14ac:dyDescent="0.25">
      <c r="C147" s="405"/>
      <c r="D147" s="405"/>
      <c r="E147" s="405"/>
      <c r="F147" s="405"/>
      <c r="G147" s="405"/>
      <c r="H147" s="405"/>
      <c r="I147" s="405"/>
      <c r="J147" s="405"/>
      <c r="K147" s="405"/>
      <c r="L147" s="405"/>
      <c r="M147" s="405"/>
      <c r="N147" s="405"/>
      <c r="O147" s="138"/>
    </row>
    <row r="148" spans="3:15" x14ac:dyDescent="0.25">
      <c r="C148" s="405"/>
      <c r="D148" s="405"/>
      <c r="E148" s="405"/>
      <c r="F148" s="405"/>
      <c r="G148" s="405"/>
      <c r="H148" s="405"/>
      <c r="I148" s="405"/>
      <c r="J148" s="405"/>
      <c r="K148" s="405"/>
      <c r="L148" s="405"/>
      <c r="M148" s="405"/>
      <c r="N148" s="405"/>
      <c r="O148" s="138"/>
    </row>
    <row r="149" spans="3:15" x14ac:dyDescent="0.25">
      <c r="C149" s="405"/>
      <c r="D149" s="405"/>
      <c r="E149" s="405"/>
      <c r="F149" s="405"/>
      <c r="G149" s="405"/>
      <c r="H149" s="405"/>
      <c r="I149" s="405"/>
      <c r="J149" s="405"/>
      <c r="K149" s="405"/>
      <c r="L149" s="405"/>
      <c r="M149" s="405"/>
      <c r="N149" s="405"/>
      <c r="O149" s="138"/>
    </row>
    <row r="150" spans="3:15" x14ac:dyDescent="0.25">
      <c r="C150" s="405"/>
      <c r="D150" s="405"/>
      <c r="E150" s="405"/>
      <c r="F150" s="405"/>
      <c r="G150" s="405"/>
      <c r="H150" s="405"/>
      <c r="I150" s="405"/>
      <c r="J150" s="405"/>
      <c r="K150" s="405"/>
      <c r="L150" s="405"/>
      <c r="M150" s="405"/>
      <c r="N150" s="405"/>
      <c r="O150" s="138"/>
    </row>
    <row r="151" spans="3:15" x14ac:dyDescent="0.25">
      <c r="C151" s="405"/>
      <c r="D151" s="405"/>
      <c r="E151" s="405"/>
      <c r="F151" s="405"/>
      <c r="G151" s="405"/>
      <c r="H151" s="405"/>
      <c r="I151" s="405"/>
      <c r="J151" s="405"/>
      <c r="K151" s="405"/>
      <c r="L151" s="405"/>
      <c r="M151" s="405"/>
      <c r="N151" s="405"/>
      <c r="O151" s="138"/>
    </row>
    <row r="152" spans="3:15" x14ac:dyDescent="0.25">
      <c r="C152" s="405"/>
      <c r="D152" s="405"/>
      <c r="E152" s="405"/>
      <c r="F152" s="405"/>
      <c r="G152" s="405"/>
      <c r="H152" s="405"/>
      <c r="I152" s="405"/>
      <c r="J152" s="405"/>
      <c r="K152" s="405"/>
      <c r="L152" s="405"/>
      <c r="M152" s="405"/>
      <c r="N152" s="405"/>
      <c r="O152" s="138"/>
    </row>
    <row r="153" spans="3:15" x14ac:dyDescent="0.25">
      <c r="C153" s="405"/>
      <c r="D153" s="405"/>
      <c r="E153" s="405"/>
      <c r="F153" s="405"/>
      <c r="G153" s="405"/>
      <c r="H153" s="405"/>
      <c r="I153" s="405"/>
      <c r="J153" s="405"/>
      <c r="K153" s="405"/>
      <c r="L153" s="405"/>
      <c r="M153" s="405"/>
      <c r="N153" s="405"/>
      <c r="O153" s="138"/>
    </row>
    <row r="154" spans="3:15" x14ac:dyDescent="0.25">
      <c r="C154" s="405"/>
      <c r="D154" s="405"/>
      <c r="E154" s="405"/>
      <c r="F154" s="405"/>
      <c r="G154" s="405"/>
      <c r="H154" s="405"/>
      <c r="I154" s="405"/>
      <c r="J154" s="405"/>
      <c r="K154" s="405"/>
      <c r="L154" s="405"/>
      <c r="M154" s="405"/>
      <c r="N154" s="405"/>
      <c r="O154" s="138"/>
    </row>
    <row r="155" spans="3:15" x14ac:dyDescent="0.25">
      <c r="C155" s="405"/>
      <c r="D155" s="405"/>
      <c r="E155" s="405"/>
      <c r="F155" s="405"/>
      <c r="G155" s="405"/>
      <c r="H155" s="405"/>
      <c r="I155" s="405"/>
      <c r="J155" s="405"/>
      <c r="K155" s="405"/>
      <c r="L155" s="405"/>
      <c r="M155" s="405"/>
      <c r="N155" s="405"/>
      <c r="O155" s="138"/>
    </row>
    <row r="156" spans="3:15" x14ac:dyDescent="0.25">
      <c r="C156" s="405"/>
      <c r="D156" s="405"/>
      <c r="E156" s="405"/>
      <c r="F156" s="405"/>
      <c r="G156" s="405"/>
      <c r="H156" s="405"/>
      <c r="I156" s="405"/>
      <c r="J156" s="405"/>
      <c r="K156" s="405"/>
      <c r="L156" s="405"/>
      <c r="M156" s="405"/>
      <c r="N156" s="405"/>
      <c r="O156" s="138"/>
    </row>
    <row r="157" spans="3:15" x14ac:dyDescent="0.25">
      <c r="C157" s="405"/>
      <c r="D157" s="405"/>
      <c r="E157" s="405"/>
      <c r="F157" s="405"/>
      <c r="G157" s="405"/>
      <c r="H157" s="405"/>
      <c r="I157" s="405"/>
      <c r="J157" s="405"/>
      <c r="K157" s="405"/>
      <c r="L157" s="405"/>
      <c r="M157" s="405"/>
      <c r="N157" s="405"/>
      <c r="O157" s="138"/>
    </row>
    <row r="158" spans="3:15" ht="15" customHeight="1" x14ac:dyDescent="0.25">
      <c r="C158" s="405"/>
      <c r="D158" s="405"/>
      <c r="E158" s="405"/>
      <c r="F158" s="405"/>
      <c r="G158" s="405"/>
      <c r="H158" s="405"/>
      <c r="I158" s="405"/>
      <c r="J158" s="405"/>
      <c r="K158" s="405"/>
      <c r="L158" s="405"/>
      <c r="M158" s="405"/>
      <c r="N158" s="405"/>
      <c r="O158" s="138"/>
    </row>
    <row r="159" spans="3:15" ht="15" customHeight="1" x14ac:dyDescent="0.25">
      <c r="C159" s="405"/>
      <c r="D159" s="405"/>
      <c r="E159" s="405"/>
      <c r="F159" s="405"/>
      <c r="G159" s="405"/>
      <c r="H159" s="405"/>
      <c r="I159" s="405"/>
      <c r="J159" s="405"/>
      <c r="K159" s="405"/>
      <c r="L159" s="405"/>
      <c r="M159" s="405"/>
      <c r="N159" s="405"/>
      <c r="O159" s="138"/>
    </row>
    <row r="160" spans="3:15" ht="15" customHeight="1" x14ac:dyDescent="0.25">
      <c r="C160" s="405"/>
      <c r="D160" s="405"/>
      <c r="E160" s="405"/>
      <c r="F160" s="405"/>
      <c r="G160" s="405"/>
      <c r="H160" s="405"/>
      <c r="I160" s="405"/>
      <c r="J160" s="405"/>
      <c r="K160" s="405"/>
      <c r="L160" s="405"/>
      <c r="M160" s="405"/>
      <c r="N160" s="405"/>
      <c r="O160" s="138"/>
    </row>
    <row r="161" spans="3:15" ht="15" customHeight="1" x14ac:dyDescent="0.25">
      <c r="C161" s="405"/>
      <c r="D161" s="405"/>
      <c r="E161" s="405"/>
      <c r="F161" s="405"/>
      <c r="G161" s="405"/>
      <c r="H161" s="405"/>
      <c r="I161" s="405"/>
      <c r="J161" s="405"/>
      <c r="K161" s="405"/>
      <c r="L161" s="405"/>
      <c r="M161" s="405"/>
      <c r="N161" s="405"/>
      <c r="O161" s="138"/>
    </row>
    <row r="162" spans="3:15" ht="15" customHeight="1" x14ac:dyDescent="0.25">
      <c r="C162" s="405"/>
      <c r="D162" s="405"/>
      <c r="E162" s="405"/>
      <c r="F162" s="405"/>
      <c r="G162" s="405"/>
      <c r="H162" s="405"/>
      <c r="I162" s="405"/>
      <c r="J162" s="405"/>
      <c r="K162" s="405"/>
      <c r="L162" s="405"/>
      <c r="M162" s="405"/>
      <c r="N162" s="405"/>
      <c r="O162" s="138"/>
    </row>
    <row r="163" spans="3:15" ht="15" customHeight="1" x14ac:dyDescent="0.25">
      <c r="C163" s="405"/>
      <c r="D163" s="405"/>
      <c r="E163" s="405"/>
      <c r="F163" s="405"/>
      <c r="G163" s="405"/>
      <c r="H163" s="405"/>
      <c r="I163" s="405"/>
      <c r="J163" s="405"/>
      <c r="K163" s="405"/>
      <c r="L163" s="405"/>
      <c r="M163" s="405"/>
      <c r="N163" s="405"/>
      <c r="O163" s="138"/>
    </row>
    <row r="164" spans="3:15" ht="15" customHeight="1" x14ac:dyDescent="0.25">
      <c r="C164" s="405"/>
      <c r="D164" s="405"/>
      <c r="E164" s="405"/>
      <c r="F164" s="405"/>
      <c r="G164" s="405"/>
      <c r="H164" s="405"/>
      <c r="I164" s="405"/>
      <c r="J164" s="405"/>
      <c r="K164" s="405"/>
      <c r="L164" s="405"/>
      <c r="M164" s="405"/>
      <c r="N164" s="405"/>
      <c r="O164" s="138"/>
    </row>
    <row r="165" spans="3:15" ht="15" customHeight="1" x14ac:dyDescent="0.25">
      <c r="C165" s="405"/>
      <c r="D165" s="405"/>
      <c r="E165" s="405"/>
      <c r="F165" s="405"/>
      <c r="G165" s="405"/>
      <c r="H165" s="405"/>
      <c r="I165" s="405"/>
      <c r="J165" s="405"/>
      <c r="K165" s="405"/>
      <c r="L165" s="405"/>
      <c r="M165" s="405"/>
      <c r="N165" s="405"/>
      <c r="O165" s="138"/>
    </row>
    <row r="166" spans="3:15" ht="15" customHeight="1" x14ac:dyDescent="0.25">
      <c r="C166" s="405"/>
      <c r="D166" s="405"/>
      <c r="E166" s="405"/>
      <c r="F166" s="405"/>
      <c r="G166" s="405"/>
      <c r="H166" s="405"/>
      <c r="I166" s="405"/>
      <c r="J166" s="405"/>
      <c r="K166" s="405"/>
      <c r="L166" s="405"/>
      <c r="M166" s="405"/>
      <c r="N166" s="405"/>
      <c r="O166" s="138"/>
    </row>
    <row r="167" spans="3:15" ht="15" customHeight="1" x14ac:dyDescent="0.25">
      <c r="C167" s="405"/>
      <c r="D167" s="405"/>
      <c r="E167" s="405"/>
      <c r="F167" s="405"/>
      <c r="G167" s="405"/>
      <c r="H167" s="405"/>
      <c r="I167" s="405"/>
      <c r="J167" s="405"/>
      <c r="K167" s="405"/>
      <c r="L167" s="405"/>
      <c r="M167" s="405"/>
      <c r="N167" s="405"/>
      <c r="O167" s="138"/>
    </row>
    <row r="168" spans="3:15" ht="15" customHeight="1" x14ac:dyDescent="0.25">
      <c r="C168" s="405"/>
      <c r="D168" s="405"/>
      <c r="E168" s="405"/>
      <c r="F168" s="405"/>
      <c r="G168" s="405"/>
      <c r="H168" s="405"/>
      <c r="I168" s="405"/>
      <c r="J168" s="405"/>
      <c r="K168" s="405"/>
      <c r="L168" s="405"/>
      <c r="M168" s="405"/>
      <c r="N168" s="405"/>
      <c r="O168" s="138"/>
    </row>
    <row r="169" spans="3:15" ht="15" customHeight="1" x14ac:dyDescent="0.25">
      <c r="C169" s="405"/>
      <c r="D169" s="405"/>
      <c r="E169" s="405"/>
      <c r="F169" s="405"/>
      <c r="G169" s="405"/>
      <c r="H169" s="405"/>
      <c r="I169" s="405"/>
      <c r="J169" s="405"/>
      <c r="K169" s="405"/>
      <c r="L169" s="405"/>
      <c r="M169" s="405"/>
      <c r="N169" s="405"/>
      <c r="O169" s="138"/>
    </row>
    <row r="170" spans="3:15" ht="15" customHeight="1" x14ac:dyDescent="0.25">
      <c r="C170" s="405"/>
      <c r="D170" s="405"/>
      <c r="E170" s="405"/>
      <c r="F170" s="405"/>
      <c r="G170" s="405"/>
      <c r="H170" s="405"/>
      <c r="I170" s="405"/>
      <c r="J170" s="405"/>
      <c r="K170" s="405"/>
      <c r="L170" s="405"/>
      <c r="M170" s="405"/>
      <c r="N170" s="405"/>
      <c r="O170" s="138"/>
    </row>
    <row r="171" spans="3:15" ht="15" customHeight="1" x14ac:dyDescent="0.25">
      <c r="C171" s="405"/>
      <c r="D171" s="405"/>
      <c r="E171" s="405"/>
      <c r="F171" s="405"/>
      <c r="G171" s="405"/>
      <c r="H171" s="405"/>
      <c r="I171" s="405"/>
      <c r="J171" s="405"/>
      <c r="K171" s="405"/>
      <c r="L171" s="405"/>
      <c r="M171" s="405"/>
      <c r="N171" s="405"/>
      <c r="O171" s="138"/>
    </row>
    <row r="172" spans="3:15" ht="15" customHeight="1" x14ac:dyDescent="0.25">
      <c r="C172" s="405"/>
      <c r="D172" s="405"/>
      <c r="E172" s="405"/>
      <c r="F172" s="405"/>
      <c r="G172" s="405"/>
      <c r="H172" s="405"/>
      <c r="I172" s="405"/>
      <c r="J172" s="405"/>
      <c r="K172" s="405"/>
      <c r="L172" s="405"/>
      <c r="M172" s="405"/>
      <c r="N172" s="405"/>
      <c r="O172" s="138"/>
    </row>
    <row r="173" spans="3:15" ht="15" customHeight="1" x14ac:dyDescent="0.25">
      <c r="C173" s="405"/>
      <c r="D173" s="405"/>
      <c r="E173" s="405"/>
      <c r="F173" s="405"/>
      <c r="G173" s="405"/>
      <c r="H173" s="405"/>
      <c r="I173" s="405"/>
      <c r="J173" s="405"/>
      <c r="K173" s="405"/>
      <c r="L173" s="405"/>
      <c r="M173" s="405"/>
      <c r="N173" s="405"/>
      <c r="O173" s="138"/>
    </row>
    <row r="174" spans="3:15" ht="15" customHeight="1" x14ac:dyDescent="0.25">
      <c r="C174" s="405"/>
      <c r="D174" s="405"/>
      <c r="E174" s="405"/>
      <c r="F174" s="405"/>
      <c r="G174" s="405"/>
      <c r="H174" s="405"/>
      <c r="I174" s="405"/>
      <c r="J174" s="405"/>
      <c r="K174" s="405"/>
      <c r="L174" s="405"/>
      <c r="M174" s="405"/>
      <c r="N174" s="405"/>
      <c r="O174" s="138"/>
    </row>
    <row r="175" spans="3:15" ht="15" customHeight="1" x14ac:dyDescent="0.25">
      <c r="C175" s="405"/>
      <c r="D175" s="405"/>
      <c r="E175" s="405"/>
      <c r="F175" s="405"/>
      <c r="G175" s="405"/>
      <c r="H175" s="405"/>
      <c r="I175" s="405"/>
      <c r="J175" s="405"/>
      <c r="K175" s="405"/>
      <c r="L175" s="405"/>
      <c r="M175" s="405"/>
      <c r="N175" s="405"/>
      <c r="O175" s="138"/>
    </row>
    <row r="176" spans="3:15" ht="15" customHeight="1" x14ac:dyDescent="0.25">
      <c r="C176" s="405"/>
      <c r="D176" s="405"/>
      <c r="E176" s="405"/>
      <c r="F176" s="405"/>
      <c r="G176" s="405"/>
      <c r="H176" s="405"/>
      <c r="I176" s="405"/>
      <c r="J176" s="405"/>
      <c r="K176" s="405"/>
      <c r="L176" s="405"/>
      <c r="M176" s="405"/>
      <c r="N176" s="405"/>
      <c r="O176" s="138"/>
    </row>
    <row r="177" spans="3:15" ht="15" customHeight="1" x14ac:dyDescent="0.25">
      <c r="C177" s="405"/>
      <c r="D177" s="405"/>
      <c r="E177" s="405"/>
      <c r="F177" s="405"/>
      <c r="G177" s="405"/>
      <c r="H177" s="405"/>
      <c r="I177" s="405"/>
      <c r="J177" s="405"/>
      <c r="K177" s="405"/>
      <c r="L177" s="405"/>
      <c r="M177" s="405"/>
      <c r="N177" s="405"/>
      <c r="O177" s="138"/>
    </row>
    <row r="178" spans="3:15" ht="15" customHeight="1" x14ac:dyDescent="0.25">
      <c r="C178" s="405"/>
      <c r="D178" s="405"/>
      <c r="E178" s="405"/>
      <c r="F178" s="405"/>
      <c r="G178" s="405"/>
      <c r="H178" s="405"/>
      <c r="I178" s="405"/>
      <c r="J178" s="405"/>
      <c r="K178" s="405"/>
      <c r="L178" s="405"/>
      <c r="M178" s="405"/>
      <c r="N178" s="405"/>
      <c r="O178" s="138"/>
    </row>
    <row r="179" spans="3:15" ht="15" customHeight="1" x14ac:dyDescent="0.25">
      <c r="C179" s="405"/>
      <c r="D179" s="405"/>
      <c r="E179" s="405"/>
      <c r="F179" s="405"/>
      <c r="G179" s="405"/>
      <c r="H179" s="405"/>
      <c r="I179" s="405"/>
      <c r="J179" s="405"/>
      <c r="K179" s="405"/>
      <c r="L179" s="405"/>
      <c r="M179" s="405"/>
      <c r="N179" s="405"/>
      <c r="O179" s="138"/>
    </row>
    <row r="180" spans="3:15" ht="15" customHeight="1" x14ac:dyDescent="0.25">
      <c r="C180" s="405"/>
      <c r="D180" s="405"/>
      <c r="E180" s="405"/>
      <c r="F180" s="405"/>
      <c r="G180" s="405"/>
      <c r="H180" s="405"/>
      <c r="I180" s="405"/>
      <c r="J180" s="405"/>
      <c r="K180" s="405"/>
      <c r="L180" s="405"/>
      <c r="M180" s="405"/>
      <c r="N180" s="405"/>
      <c r="O180" s="138"/>
    </row>
    <row r="181" spans="3:15" ht="15" customHeight="1" x14ac:dyDescent="0.25">
      <c r="C181" s="405"/>
      <c r="D181" s="405"/>
      <c r="E181" s="405"/>
      <c r="F181" s="405"/>
      <c r="G181" s="405"/>
      <c r="H181" s="405"/>
      <c r="I181" s="405"/>
      <c r="J181" s="405"/>
      <c r="K181" s="405"/>
      <c r="L181" s="405"/>
      <c r="M181" s="405"/>
      <c r="N181" s="405"/>
      <c r="O181" s="138"/>
    </row>
    <row r="182" spans="3:15" ht="15" customHeight="1" x14ac:dyDescent="0.25">
      <c r="C182" s="405"/>
      <c r="D182" s="405"/>
      <c r="E182" s="405"/>
      <c r="F182" s="405"/>
      <c r="G182" s="405"/>
      <c r="H182" s="405"/>
      <c r="I182" s="405"/>
      <c r="J182" s="405"/>
      <c r="K182" s="405"/>
      <c r="L182" s="405"/>
      <c r="M182" s="405"/>
      <c r="N182" s="405"/>
      <c r="O182" s="138"/>
    </row>
    <row r="183" spans="3:15" ht="15" customHeight="1" x14ac:dyDescent="0.25">
      <c r="C183" s="405"/>
      <c r="D183" s="405"/>
      <c r="E183" s="405"/>
      <c r="F183" s="405"/>
      <c r="G183" s="405"/>
      <c r="H183" s="405"/>
      <c r="I183" s="405"/>
      <c r="J183" s="405"/>
      <c r="K183" s="405"/>
      <c r="L183" s="405"/>
      <c r="M183" s="405"/>
      <c r="N183" s="405"/>
      <c r="O183" s="138"/>
    </row>
    <row r="184" spans="3:15" ht="15" customHeight="1" x14ac:dyDescent="0.25">
      <c r="C184" s="405"/>
      <c r="D184" s="405"/>
      <c r="E184" s="405"/>
      <c r="F184" s="405"/>
      <c r="G184" s="405"/>
      <c r="H184" s="405"/>
      <c r="I184" s="405"/>
      <c r="J184" s="405"/>
      <c r="K184" s="405"/>
      <c r="L184" s="405"/>
      <c r="M184" s="405"/>
      <c r="N184" s="405"/>
      <c r="O184" s="138"/>
    </row>
    <row r="185" spans="3:15" ht="15" customHeight="1" x14ac:dyDescent="0.25">
      <c r="C185" s="405"/>
      <c r="D185" s="405"/>
      <c r="E185" s="405"/>
      <c r="F185" s="405"/>
      <c r="G185" s="405"/>
      <c r="H185" s="405"/>
      <c r="I185" s="405"/>
      <c r="J185" s="405"/>
      <c r="K185" s="405"/>
      <c r="L185" s="405"/>
      <c r="M185" s="405"/>
      <c r="N185" s="405"/>
      <c r="O185" s="138"/>
    </row>
    <row r="186" spans="3:15" ht="15" customHeight="1" x14ac:dyDescent="0.25">
      <c r="C186" s="405"/>
      <c r="D186" s="405"/>
      <c r="E186" s="405"/>
      <c r="F186" s="405"/>
      <c r="G186" s="405"/>
      <c r="H186" s="405"/>
      <c r="I186" s="405"/>
      <c r="J186" s="405"/>
      <c r="K186" s="405"/>
      <c r="L186" s="405"/>
      <c r="M186" s="405"/>
      <c r="N186" s="405"/>
      <c r="O186" s="138"/>
    </row>
    <row r="187" spans="3:15" ht="15" customHeight="1" x14ac:dyDescent="0.25">
      <c r="C187" s="405"/>
      <c r="D187" s="405"/>
      <c r="E187" s="405"/>
      <c r="F187" s="405"/>
      <c r="G187" s="405"/>
      <c r="H187" s="405"/>
      <c r="I187" s="405"/>
      <c r="J187" s="405"/>
      <c r="K187" s="405"/>
      <c r="L187" s="405"/>
      <c r="M187" s="405"/>
      <c r="N187" s="405"/>
    </row>
    <row r="188" spans="3:15" ht="15" customHeight="1" x14ac:dyDescent="0.25">
      <c r="C188" s="405"/>
      <c r="D188" s="405"/>
      <c r="E188" s="405"/>
      <c r="F188" s="405"/>
      <c r="G188" s="405"/>
      <c r="H188" s="405"/>
      <c r="I188" s="405"/>
      <c r="J188" s="405"/>
      <c r="K188" s="405"/>
      <c r="L188" s="405"/>
      <c r="M188" s="405"/>
      <c r="N188" s="405"/>
    </row>
    <row r="189" spans="3:15" ht="15" customHeight="1" x14ac:dyDescent="0.25">
      <c r="C189" s="405"/>
      <c r="D189" s="405"/>
      <c r="E189" s="405"/>
      <c r="F189" s="405"/>
      <c r="G189" s="405"/>
      <c r="H189" s="405"/>
      <c r="I189" s="405"/>
      <c r="J189" s="405"/>
      <c r="K189" s="405"/>
      <c r="L189" s="405"/>
      <c r="M189" s="405"/>
      <c r="N189" s="405"/>
    </row>
    <row r="190" spans="3:15" ht="15" customHeight="1" x14ac:dyDescent="0.25">
      <c r="C190" s="405"/>
      <c r="D190" s="405"/>
      <c r="E190" s="405"/>
      <c r="F190" s="405"/>
      <c r="G190" s="405"/>
      <c r="H190" s="405"/>
      <c r="I190" s="405"/>
      <c r="J190" s="405"/>
      <c r="K190" s="405"/>
      <c r="L190" s="405"/>
      <c r="M190" s="405"/>
      <c r="N190" s="405"/>
    </row>
    <row r="191" spans="3:15" ht="15" customHeight="1" x14ac:dyDescent="0.25">
      <c r="C191" s="405"/>
      <c r="D191" s="405"/>
      <c r="E191" s="405"/>
      <c r="F191" s="405"/>
      <c r="G191" s="405"/>
      <c r="H191" s="405"/>
      <c r="I191" s="405"/>
      <c r="J191" s="405"/>
      <c r="K191" s="405"/>
      <c r="L191" s="405"/>
      <c r="M191" s="405"/>
      <c r="N191" s="405"/>
    </row>
    <row r="192" spans="3:15" ht="15" customHeight="1" x14ac:dyDescent="0.25">
      <c r="C192" s="405"/>
      <c r="D192" s="405"/>
      <c r="E192" s="405"/>
      <c r="F192" s="405"/>
      <c r="G192" s="405"/>
      <c r="H192" s="405"/>
      <c r="I192" s="405"/>
      <c r="J192" s="405"/>
      <c r="K192" s="405"/>
      <c r="L192" s="405"/>
      <c r="M192" s="405"/>
      <c r="N192" s="405"/>
    </row>
    <row r="193" spans="3:14" ht="15" customHeight="1" x14ac:dyDescent="0.25">
      <c r="C193" s="405"/>
      <c r="D193" s="405"/>
      <c r="E193" s="405"/>
      <c r="F193" s="405"/>
      <c r="G193" s="405"/>
      <c r="H193" s="405"/>
      <c r="I193" s="405"/>
      <c r="J193" s="405"/>
      <c r="K193" s="405"/>
      <c r="L193" s="405"/>
      <c r="M193" s="405"/>
      <c r="N193" s="405"/>
    </row>
    <row r="194" spans="3:14" ht="15" customHeight="1" x14ac:dyDescent="0.25">
      <c r="C194" s="405"/>
      <c r="D194" s="405"/>
      <c r="E194" s="405"/>
      <c r="F194" s="405"/>
      <c r="G194" s="405"/>
      <c r="H194" s="405"/>
      <c r="I194" s="405"/>
      <c r="J194" s="405"/>
      <c r="K194" s="405"/>
      <c r="L194" s="405"/>
      <c r="M194" s="405"/>
      <c r="N194" s="405"/>
    </row>
    <row r="195" spans="3:14" ht="15" customHeight="1" x14ac:dyDescent="0.25">
      <c r="C195" s="405"/>
      <c r="D195" s="405"/>
      <c r="E195" s="405"/>
      <c r="F195" s="405"/>
      <c r="G195" s="405"/>
      <c r="H195" s="405"/>
      <c r="I195" s="405"/>
      <c r="J195" s="405"/>
      <c r="K195" s="405"/>
      <c r="L195" s="405"/>
      <c r="M195" s="405"/>
      <c r="N195" s="405"/>
    </row>
    <row r="196" spans="3:14" ht="15" customHeight="1" x14ac:dyDescent="0.25">
      <c r="C196" s="405"/>
      <c r="D196" s="405"/>
      <c r="E196" s="405"/>
      <c r="F196" s="405"/>
      <c r="G196" s="405"/>
      <c r="H196" s="405"/>
      <c r="I196" s="405"/>
      <c r="J196" s="405"/>
      <c r="K196" s="405"/>
      <c r="L196" s="405"/>
      <c r="M196" s="405"/>
      <c r="N196" s="405"/>
    </row>
    <row r="197" spans="3:14" ht="15" customHeight="1" x14ac:dyDescent="0.25">
      <c r="C197" s="405"/>
      <c r="D197" s="405"/>
      <c r="E197" s="405"/>
      <c r="F197" s="405"/>
      <c r="G197" s="405"/>
      <c r="H197" s="405"/>
      <c r="I197" s="405"/>
      <c r="J197" s="405"/>
      <c r="K197" s="405"/>
      <c r="L197" s="405"/>
      <c r="M197" s="405"/>
      <c r="N197" s="405"/>
    </row>
    <row r="198" spans="3:14" ht="15" customHeight="1" x14ac:dyDescent="0.25">
      <c r="C198" s="405"/>
      <c r="D198" s="405"/>
      <c r="E198" s="405"/>
      <c r="F198" s="405"/>
      <c r="G198" s="405"/>
      <c r="H198" s="405"/>
      <c r="I198" s="405"/>
      <c r="J198" s="405"/>
      <c r="K198" s="405"/>
      <c r="L198" s="405"/>
      <c r="M198" s="405"/>
      <c r="N198" s="405"/>
    </row>
    <row r="199" spans="3:14" ht="15" customHeight="1" x14ac:dyDescent="0.25">
      <c r="C199" s="405"/>
      <c r="D199" s="405"/>
      <c r="E199" s="405"/>
      <c r="F199" s="405"/>
      <c r="G199" s="405"/>
      <c r="H199" s="405"/>
      <c r="I199" s="405"/>
      <c r="J199" s="405"/>
      <c r="K199" s="405"/>
      <c r="L199" s="405"/>
      <c r="M199" s="405"/>
      <c r="N199" s="405"/>
    </row>
    <row r="200" spans="3:14" ht="15" customHeight="1" x14ac:dyDescent="0.25">
      <c r="C200" s="405"/>
      <c r="D200" s="405"/>
      <c r="E200" s="405"/>
      <c r="F200" s="405"/>
      <c r="G200" s="405"/>
      <c r="H200" s="405"/>
      <c r="I200" s="405"/>
      <c r="J200" s="405"/>
      <c r="K200" s="405"/>
      <c r="L200" s="405"/>
      <c r="M200" s="405"/>
      <c r="N200" s="405"/>
    </row>
    <row r="201" spans="3:14" ht="15" customHeight="1" x14ac:dyDescent="0.25">
      <c r="C201" s="405"/>
      <c r="D201" s="405"/>
      <c r="E201" s="405"/>
      <c r="F201" s="405"/>
      <c r="G201" s="405"/>
      <c r="H201" s="405"/>
      <c r="I201" s="405"/>
      <c r="J201" s="405"/>
      <c r="K201" s="405"/>
      <c r="L201" s="405"/>
      <c r="M201" s="405"/>
      <c r="N201" s="405"/>
    </row>
    <row r="202" spans="3:14" ht="15" customHeight="1" x14ac:dyDescent="0.25">
      <c r="C202" s="405"/>
      <c r="D202" s="405"/>
      <c r="E202" s="405"/>
      <c r="F202" s="405"/>
      <c r="G202" s="405"/>
      <c r="H202" s="405"/>
      <c r="I202" s="405"/>
      <c r="J202" s="405"/>
      <c r="K202" s="405"/>
      <c r="L202" s="405"/>
      <c r="M202" s="405"/>
      <c r="N202" s="405"/>
    </row>
    <row r="203" spans="3:14" ht="15" customHeight="1" x14ac:dyDescent="0.25">
      <c r="C203" s="405"/>
      <c r="D203" s="405"/>
      <c r="E203" s="405"/>
      <c r="F203" s="405"/>
      <c r="G203" s="405"/>
      <c r="H203" s="405"/>
      <c r="I203" s="405"/>
      <c r="J203" s="405"/>
      <c r="K203" s="405"/>
      <c r="L203" s="405"/>
      <c r="M203" s="405"/>
      <c r="N203" s="405"/>
    </row>
    <row r="204" spans="3:14" ht="15" customHeight="1" x14ac:dyDescent="0.25">
      <c r="C204" s="405"/>
      <c r="D204" s="405"/>
      <c r="E204" s="405"/>
      <c r="F204" s="405"/>
      <c r="G204" s="405"/>
      <c r="H204" s="405"/>
      <c r="I204" s="405"/>
      <c r="J204" s="405"/>
      <c r="K204" s="405"/>
      <c r="L204" s="405"/>
      <c r="M204" s="405"/>
      <c r="N204" s="405"/>
    </row>
    <row r="205" spans="3:14" ht="15" customHeight="1" x14ac:dyDescent="0.25">
      <c r="C205" s="405"/>
      <c r="D205" s="405"/>
      <c r="E205" s="405"/>
      <c r="F205" s="405"/>
      <c r="G205" s="405"/>
      <c r="H205" s="405"/>
      <c r="I205" s="405"/>
      <c r="J205" s="405"/>
      <c r="K205" s="405"/>
      <c r="L205" s="405"/>
      <c r="M205" s="405"/>
      <c r="N205" s="405"/>
    </row>
    <row r="206" spans="3:14" ht="15" customHeight="1" x14ac:dyDescent="0.25">
      <c r="C206" s="405"/>
      <c r="D206" s="405"/>
      <c r="E206" s="405"/>
      <c r="F206" s="405"/>
      <c r="G206" s="405"/>
      <c r="H206" s="405"/>
      <c r="I206" s="405"/>
      <c r="J206" s="405"/>
      <c r="K206" s="405"/>
      <c r="L206" s="405"/>
      <c r="M206" s="405"/>
      <c r="N206" s="405"/>
    </row>
    <row r="207" spans="3:14" ht="15" customHeight="1" x14ac:dyDescent="0.25">
      <c r="C207" s="405"/>
      <c r="D207" s="405"/>
      <c r="E207" s="405"/>
      <c r="F207" s="405"/>
      <c r="G207" s="405"/>
      <c r="H207" s="405"/>
      <c r="I207" s="405"/>
      <c r="J207" s="405"/>
      <c r="K207" s="405"/>
      <c r="L207" s="405"/>
      <c r="M207" s="405"/>
      <c r="N207" s="405"/>
    </row>
    <row r="208" spans="3:14" ht="15" customHeight="1" x14ac:dyDescent="0.25">
      <c r="C208" s="405"/>
      <c r="D208" s="405"/>
      <c r="E208" s="405"/>
      <c r="F208" s="405"/>
      <c r="G208" s="405"/>
      <c r="H208" s="405"/>
      <c r="I208" s="405"/>
      <c r="J208" s="405"/>
      <c r="K208" s="405"/>
      <c r="L208" s="405"/>
      <c r="M208" s="405"/>
      <c r="N208" s="405"/>
    </row>
    <row r="209" spans="3:14" ht="15" customHeight="1" x14ac:dyDescent="0.25">
      <c r="C209" s="405"/>
      <c r="D209" s="405"/>
      <c r="E209" s="405"/>
      <c r="F209" s="405"/>
      <c r="G209" s="405"/>
      <c r="H209" s="405"/>
      <c r="I209" s="405"/>
      <c r="J209" s="405"/>
      <c r="K209" s="405"/>
      <c r="L209" s="405"/>
      <c r="M209" s="405"/>
      <c r="N209" s="405"/>
    </row>
    <row r="210" spans="3:14" ht="15" customHeight="1" x14ac:dyDescent="0.25">
      <c r="C210" s="405"/>
      <c r="D210" s="405"/>
      <c r="E210" s="405"/>
      <c r="F210" s="405"/>
      <c r="G210" s="405"/>
      <c r="H210" s="405"/>
      <c r="I210" s="405"/>
      <c r="J210" s="405"/>
      <c r="K210" s="405"/>
      <c r="L210" s="405"/>
      <c r="M210" s="405"/>
      <c r="N210" s="405"/>
    </row>
    <row r="211" spans="3:14" ht="15" customHeight="1" x14ac:dyDescent="0.25">
      <c r="C211" s="405"/>
      <c r="D211" s="405"/>
      <c r="E211" s="405"/>
      <c r="F211" s="405"/>
      <c r="G211" s="405"/>
      <c r="H211" s="405"/>
      <c r="I211" s="405"/>
      <c r="J211" s="405"/>
      <c r="K211" s="405"/>
      <c r="L211" s="405"/>
      <c r="M211" s="405"/>
      <c r="N211" s="405"/>
    </row>
    <row r="212" spans="3:14" ht="15" customHeight="1" x14ac:dyDescent="0.25">
      <c r="C212" s="405"/>
      <c r="D212" s="405"/>
      <c r="E212" s="405"/>
      <c r="F212" s="405"/>
      <c r="G212" s="405"/>
      <c r="H212" s="405"/>
      <c r="I212" s="405"/>
      <c r="J212" s="405"/>
      <c r="K212" s="405"/>
      <c r="L212" s="405"/>
      <c r="M212" s="405"/>
      <c r="N212" s="405"/>
    </row>
    <row r="213" spans="3:14" ht="15" customHeight="1" x14ac:dyDescent="0.25">
      <c r="C213" s="405"/>
      <c r="D213" s="405"/>
      <c r="E213" s="405"/>
      <c r="F213" s="405"/>
      <c r="G213" s="405"/>
      <c r="H213" s="405"/>
      <c r="I213" s="405"/>
      <c r="J213" s="405"/>
      <c r="K213" s="405"/>
      <c r="L213" s="405"/>
      <c r="M213" s="405"/>
      <c r="N213" s="405"/>
    </row>
    <row r="214" spans="3:14" ht="15" customHeight="1" x14ac:dyDescent="0.25">
      <c r="C214" s="405"/>
      <c r="D214" s="405"/>
      <c r="E214" s="405"/>
      <c r="F214" s="405"/>
      <c r="G214" s="405"/>
      <c r="H214" s="405"/>
      <c r="I214" s="405"/>
      <c r="J214" s="405"/>
      <c r="K214" s="405"/>
      <c r="L214" s="405"/>
      <c r="M214" s="405"/>
      <c r="N214" s="405"/>
    </row>
    <row r="215" spans="3:14" ht="15" customHeight="1" x14ac:dyDescent="0.25">
      <c r="C215" s="405"/>
      <c r="D215" s="405"/>
      <c r="E215" s="405"/>
      <c r="F215" s="405"/>
      <c r="G215" s="405"/>
      <c r="H215" s="405"/>
      <c r="I215" s="405"/>
      <c r="J215" s="405"/>
      <c r="K215" s="405"/>
      <c r="L215" s="405"/>
      <c r="M215" s="405"/>
      <c r="N215" s="405"/>
    </row>
    <row r="216" spans="3:14" ht="15" customHeight="1" x14ac:dyDescent="0.25">
      <c r="C216" s="405"/>
      <c r="D216" s="405"/>
      <c r="E216" s="405"/>
      <c r="F216" s="405"/>
      <c r="G216" s="405"/>
      <c r="H216" s="405"/>
      <c r="I216" s="405"/>
      <c r="J216" s="405"/>
      <c r="K216" s="405"/>
      <c r="L216" s="405"/>
      <c r="M216" s="405"/>
      <c r="N216" s="405"/>
    </row>
    <row r="217" spans="3:14" ht="15" customHeight="1" x14ac:dyDescent="0.25">
      <c r="C217" s="405"/>
      <c r="D217" s="405"/>
      <c r="E217" s="405"/>
      <c r="F217" s="405"/>
      <c r="G217" s="405"/>
      <c r="H217" s="405"/>
      <c r="I217" s="405"/>
      <c r="J217" s="405"/>
      <c r="K217" s="405"/>
      <c r="L217" s="405"/>
      <c r="M217" s="405"/>
      <c r="N217" s="405"/>
    </row>
    <row r="218" spans="3:14" ht="15" customHeight="1" x14ac:dyDescent="0.25">
      <c r="C218" s="405"/>
      <c r="D218" s="405"/>
      <c r="E218" s="405"/>
      <c r="F218" s="405"/>
      <c r="G218" s="405"/>
      <c r="H218" s="405"/>
      <c r="I218" s="405"/>
      <c r="J218" s="405"/>
      <c r="K218" s="405"/>
      <c r="L218" s="405"/>
      <c r="M218" s="405"/>
      <c r="N218" s="405"/>
    </row>
    <row r="219" spans="3:14" ht="15" customHeight="1" x14ac:dyDescent="0.25">
      <c r="C219" s="405"/>
      <c r="D219" s="405"/>
      <c r="E219" s="405"/>
      <c r="F219" s="405"/>
      <c r="G219" s="405"/>
      <c r="H219" s="405"/>
      <c r="I219" s="405"/>
      <c r="J219" s="405"/>
      <c r="K219" s="405"/>
      <c r="L219" s="405"/>
      <c r="M219" s="405"/>
      <c r="N219" s="405"/>
    </row>
    <row r="220" spans="3:14" ht="15" customHeight="1" x14ac:dyDescent="0.25">
      <c r="C220" s="405"/>
      <c r="D220" s="405"/>
      <c r="E220" s="405"/>
      <c r="F220" s="405"/>
      <c r="G220" s="405"/>
      <c r="H220" s="405"/>
      <c r="I220" s="405"/>
      <c r="J220" s="405"/>
      <c r="K220" s="405"/>
      <c r="L220" s="405"/>
      <c r="M220" s="405"/>
      <c r="N220" s="405"/>
    </row>
    <row r="221" spans="3:14" x14ac:dyDescent="0.25">
      <c r="C221" s="405"/>
      <c r="D221" s="405"/>
      <c r="E221" s="405"/>
      <c r="F221" s="405"/>
      <c r="G221" s="405"/>
      <c r="H221" s="405"/>
      <c r="I221" s="405"/>
      <c r="J221" s="405"/>
      <c r="K221" s="405"/>
      <c r="L221" s="405"/>
      <c r="M221" s="405"/>
      <c r="N221" s="405"/>
    </row>
    <row r="222" spans="3:14" x14ac:dyDescent="0.25">
      <c r="C222" s="405"/>
      <c r="D222" s="405"/>
      <c r="E222" s="405"/>
      <c r="F222" s="405"/>
      <c r="G222" s="405"/>
      <c r="H222" s="405"/>
      <c r="I222" s="405"/>
      <c r="J222" s="405"/>
      <c r="K222" s="405"/>
      <c r="L222" s="405"/>
      <c r="M222" s="405"/>
      <c r="N222" s="405"/>
    </row>
    <row r="223" spans="3:14" x14ac:dyDescent="0.25">
      <c r="C223" s="405"/>
      <c r="D223" s="405"/>
      <c r="E223" s="405"/>
      <c r="F223" s="405"/>
      <c r="G223" s="405"/>
      <c r="H223" s="405"/>
      <c r="I223" s="405"/>
      <c r="J223" s="405"/>
      <c r="K223" s="405"/>
      <c r="L223" s="405"/>
      <c r="M223" s="405"/>
      <c r="N223" s="405"/>
    </row>
    <row r="224" spans="3:14" x14ac:dyDescent="0.25">
      <c r="C224" s="405"/>
      <c r="D224" s="405"/>
      <c r="E224" s="405"/>
      <c r="F224" s="405"/>
      <c r="G224" s="405"/>
      <c r="H224" s="405"/>
      <c r="I224" s="405"/>
      <c r="J224" s="405"/>
      <c r="K224" s="405"/>
      <c r="L224" s="405"/>
      <c r="M224" s="405"/>
      <c r="N224" s="405"/>
    </row>
    <row r="225" spans="3:14" x14ac:dyDescent="0.25">
      <c r="C225" s="405"/>
      <c r="D225" s="405"/>
      <c r="E225" s="405"/>
      <c r="F225" s="405"/>
      <c r="G225" s="405"/>
      <c r="H225" s="405"/>
      <c r="I225" s="405"/>
      <c r="J225" s="405"/>
      <c r="K225" s="405"/>
      <c r="L225" s="405"/>
      <c r="M225" s="405"/>
      <c r="N225" s="405"/>
    </row>
    <row r="226" spans="3:14" x14ac:dyDescent="0.25">
      <c r="C226" s="405"/>
      <c r="D226" s="405"/>
      <c r="E226" s="405"/>
      <c r="F226" s="405"/>
      <c r="G226" s="405"/>
      <c r="H226" s="405"/>
      <c r="I226" s="405"/>
      <c r="J226" s="405"/>
      <c r="K226" s="405"/>
      <c r="L226" s="405"/>
      <c r="M226" s="405"/>
      <c r="N226" s="405"/>
    </row>
    <row r="227" spans="3:14" x14ac:dyDescent="0.25">
      <c r="C227" s="405"/>
      <c r="D227" s="405"/>
      <c r="E227" s="405"/>
      <c r="F227" s="405"/>
      <c r="G227" s="405"/>
      <c r="H227" s="405"/>
      <c r="I227" s="405"/>
      <c r="J227" s="405"/>
      <c r="K227" s="405"/>
      <c r="L227" s="405"/>
      <c r="M227" s="405"/>
      <c r="N227" s="405"/>
    </row>
    <row r="228" spans="3:14" x14ac:dyDescent="0.25">
      <c r="C228" s="405"/>
      <c r="D228" s="405"/>
      <c r="E228" s="405"/>
      <c r="F228" s="405"/>
      <c r="G228" s="405"/>
      <c r="H228" s="405"/>
      <c r="I228" s="405"/>
      <c r="J228" s="405"/>
      <c r="K228" s="405"/>
      <c r="L228" s="405"/>
      <c r="M228" s="405"/>
      <c r="N228" s="405"/>
    </row>
    <row r="229" spans="3:14" x14ac:dyDescent="0.25">
      <c r="C229" s="405"/>
      <c r="D229" s="405"/>
      <c r="E229" s="405"/>
      <c r="F229" s="405"/>
      <c r="G229" s="405"/>
      <c r="H229" s="405"/>
      <c r="I229" s="405"/>
      <c r="J229" s="405"/>
      <c r="K229" s="405"/>
      <c r="L229" s="405"/>
      <c r="M229" s="405"/>
      <c r="N229" s="405"/>
    </row>
    <row r="230" spans="3:14" x14ac:dyDescent="0.25">
      <c r="C230" s="405"/>
      <c r="D230" s="405"/>
      <c r="E230" s="405"/>
      <c r="F230" s="405"/>
      <c r="G230" s="405"/>
      <c r="H230" s="405"/>
      <c r="I230" s="405"/>
      <c r="J230" s="405"/>
      <c r="K230" s="405"/>
      <c r="L230" s="405"/>
      <c r="M230" s="405"/>
      <c r="N230" s="405"/>
    </row>
    <row r="231" spans="3:14" x14ac:dyDescent="0.25">
      <c r="C231" s="405"/>
      <c r="D231" s="405"/>
      <c r="E231" s="405"/>
      <c r="F231" s="405"/>
      <c r="G231" s="405"/>
      <c r="H231" s="405"/>
      <c r="I231" s="405"/>
      <c r="J231" s="405"/>
      <c r="K231" s="405"/>
      <c r="L231" s="405"/>
      <c r="M231" s="405"/>
      <c r="N231" s="405"/>
    </row>
    <row r="232" spans="3:14" x14ac:dyDescent="0.25">
      <c r="C232" s="405"/>
      <c r="D232" s="405"/>
      <c r="E232" s="405"/>
      <c r="F232" s="405"/>
      <c r="G232" s="405"/>
      <c r="H232" s="405"/>
      <c r="I232" s="405"/>
      <c r="J232" s="405"/>
      <c r="K232" s="405"/>
      <c r="L232" s="405"/>
      <c r="M232" s="405"/>
      <c r="N232" s="405"/>
    </row>
    <row r="233" spans="3:14" x14ac:dyDescent="0.25">
      <c r="C233" s="405"/>
      <c r="D233" s="405"/>
      <c r="E233" s="405"/>
      <c r="F233" s="405"/>
      <c r="G233" s="405"/>
      <c r="H233" s="405"/>
      <c r="I233" s="405"/>
      <c r="J233" s="405"/>
      <c r="K233" s="405"/>
      <c r="L233" s="405"/>
      <c r="M233" s="405"/>
      <c r="N233" s="405"/>
    </row>
    <row r="234" spans="3:14" x14ac:dyDescent="0.25">
      <c r="C234" s="405"/>
      <c r="D234" s="405"/>
      <c r="E234" s="405"/>
      <c r="F234" s="405"/>
      <c r="G234" s="405"/>
      <c r="H234" s="405"/>
      <c r="I234" s="405"/>
      <c r="J234" s="405"/>
      <c r="K234" s="405"/>
      <c r="L234" s="405"/>
      <c r="M234" s="405"/>
      <c r="N234" s="405"/>
    </row>
    <row r="235" spans="3:14" x14ac:dyDescent="0.25">
      <c r="C235" s="405"/>
      <c r="D235" s="405"/>
      <c r="E235" s="405"/>
      <c r="F235" s="405"/>
      <c r="G235" s="405"/>
      <c r="H235" s="405"/>
      <c r="I235" s="405"/>
      <c r="J235" s="405"/>
      <c r="K235" s="405"/>
      <c r="L235" s="405"/>
      <c r="M235" s="405"/>
      <c r="N235" s="405"/>
    </row>
    <row r="236" spans="3:14" x14ac:dyDescent="0.25">
      <c r="C236" s="405"/>
      <c r="D236" s="405"/>
      <c r="E236" s="405"/>
      <c r="F236" s="405"/>
      <c r="G236" s="405"/>
      <c r="H236" s="405"/>
      <c r="I236" s="405"/>
      <c r="J236" s="405"/>
      <c r="K236" s="405"/>
      <c r="L236" s="405"/>
      <c r="M236" s="405"/>
      <c r="N236" s="405"/>
    </row>
    <row r="237" spans="3:14" x14ac:dyDescent="0.25">
      <c r="C237" s="405"/>
      <c r="D237" s="405"/>
      <c r="E237" s="405"/>
      <c r="F237" s="405"/>
      <c r="G237" s="405"/>
      <c r="H237" s="405"/>
      <c r="I237" s="405"/>
      <c r="J237" s="405"/>
      <c r="K237" s="405"/>
      <c r="L237" s="405"/>
      <c r="M237" s="405"/>
      <c r="N237" s="405"/>
    </row>
    <row r="238" spans="3:14" x14ac:dyDescent="0.25">
      <c r="C238" s="405"/>
      <c r="D238" s="405"/>
      <c r="E238" s="405"/>
      <c r="F238" s="405"/>
      <c r="G238" s="405"/>
      <c r="H238" s="405"/>
      <c r="I238" s="405"/>
      <c r="J238" s="405"/>
      <c r="K238" s="405"/>
      <c r="L238" s="405"/>
      <c r="M238" s="405"/>
      <c r="N238" s="405"/>
    </row>
    <row r="239" spans="3:14" x14ac:dyDescent="0.25">
      <c r="C239" s="405"/>
      <c r="D239" s="405"/>
      <c r="E239" s="405"/>
      <c r="F239" s="405"/>
      <c r="G239" s="405"/>
      <c r="H239" s="405"/>
      <c r="I239" s="405"/>
      <c r="J239" s="405"/>
      <c r="K239" s="405"/>
      <c r="L239" s="405"/>
      <c r="M239" s="405"/>
      <c r="N239" s="405"/>
    </row>
    <row r="240" spans="3:14" x14ac:dyDescent="0.25">
      <c r="C240" s="405"/>
      <c r="D240" s="405"/>
      <c r="E240" s="405"/>
      <c r="F240" s="405"/>
      <c r="G240" s="405"/>
      <c r="H240" s="405"/>
      <c r="I240" s="405"/>
      <c r="J240" s="405"/>
      <c r="K240" s="405"/>
      <c r="L240" s="405"/>
      <c r="M240" s="405"/>
      <c r="N240" s="405"/>
    </row>
    <row r="241" spans="3:14" x14ac:dyDescent="0.25">
      <c r="C241" s="405"/>
      <c r="D241" s="405"/>
      <c r="E241" s="405"/>
      <c r="F241" s="405"/>
      <c r="G241" s="405"/>
      <c r="H241" s="405"/>
      <c r="I241" s="405"/>
      <c r="J241" s="405"/>
      <c r="K241" s="405"/>
      <c r="L241" s="405"/>
      <c r="M241" s="405"/>
      <c r="N241" s="405"/>
    </row>
    <row r="242" spans="3:14" x14ac:dyDescent="0.25">
      <c r="C242" s="405"/>
      <c r="D242" s="405"/>
      <c r="E242" s="405"/>
      <c r="F242" s="405"/>
      <c r="G242" s="405"/>
      <c r="H242" s="405"/>
      <c r="I242" s="405"/>
      <c r="J242" s="405"/>
      <c r="K242" s="405"/>
      <c r="L242" s="405"/>
      <c r="M242" s="405"/>
      <c r="N242" s="405"/>
    </row>
    <row r="243" spans="3:14" x14ac:dyDescent="0.25">
      <c r="C243" s="405"/>
      <c r="D243" s="405"/>
      <c r="E243" s="405"/>
      <c r="F243" s="405"/>
      <c r="G243" s="405"/>
      <c r="H243" s="405"/>
      <c r="I243" s="405"/>
      <c r="J243" s="405"/>
      <c r="K243" s="405"/>
      <c r="L243" s="405"/>
      <c r="M243" s="405"/>
      <c r="N243" s="405"/>
    </row>
    <row r="244" spans="3:14" x14ac:dyDescent="0.25">
      <c r="C244" s="405"/>
      <c r="D244" s="405"/>
      <c r="E244" s="405"/>
      <c r="F244" s="405"/>
      <c r="G244" s="405"/>
      <c r="H244" s="405"/>
      <c r="I244" s="405"/>
      <c r="J244" s="405"/>
      <c r="K244" s="405"/>
      <c r="L244" s="405"/>
      <c r="M244" s="405"/>
      <c r="N244" s="405"/>
    </row>
    <row r="245" spans="3:14" x14ac:dyDescent="0.25">
      <c r="C245" s="405"/>
      <c r="D245" s="405"/>
      <c r="E245" s="405"/>
      <c r="F245" s="405"/>
      <c r="G245" s="405"/>
      <c r="H245" s="405"/>
      <c r="I245" s="405"/>
      <c r="J245" s="405"/>
      <c r="K245" s="405"/>
      <c r="L245" s="405"/>
      <c r="M245" s="405"/>
      <c r="N245" s="405"/>
    </row>
    <row r="246" spans="3:14" x14ac:dyDescent="0.25">
      <c r="C246" s="405"/>
      <c r="D246" s="405"/>
      <c r="E246" s="405"/>
      <c r="F246" s="405"/>
      <c r="G246" s="405"/>
      <c r="H246" s="405"/>
      <c r="I246" s="405"/>
      <c r="J246" s="405"/>
      <c r="K246" s="405"/>
      <c r="L246" s="405"/>
      <c r="M246" s="405"/>
      <c r="N246" s="405"/>
    </row>
    <row r="247" spans="3:14" x14ac:dyDescent="0.25">
      <c r="C247" s="405"/>
      <c r="D247" s="405"/>
      <c r="E247" s="405"/>
      <c r="F247" s="405"/>
      <c r="G247" s="405"/>
      <c r="H247" s="405"/>
      <c r="I247" s="405"/>
      <c r="J247" s="405"/>
      <c r="K247" s="405"/>
      <c r="L247" s="405"/>
      <c r="M247" s="405"/>
      <c r="N247" s="405"/>
    </row>
    <row r="248" spans="3:14" x14ac:dyDescent="0.25">
      <c r="C248" s="405"/>
      <c r="D248" s="405"/>
      <c r="E248" s="405"/>
      <c r="F248" s="405"/>
      <c r="G248" s="405"/>
      <c r="H248" s="405"/>
      <c r="I248" s="405"/>
      <c r="J248" s="405"/>
      <c r="K248" s="405"/>
      <c r="L248" s="405"/>
      <c r="M248" s="405"/>
      <c r="N248" s="405"/>
    </row>
    <row r="249" spans="3:14" x14ac:dyDescent="0.25">
      <c r="C249" s="405"/>
      <c r="D249" s="405"/>
      <c r="E249" s="405"/>
      <c r="F249" s="405"/>
      <c r="G249" s="405"/>
      <c r="H249" s="405"/>
      <c r="I249" s="405"/>
      <c r="J249" s="405"/>
      <c r="K249" s="405"/>
      <c r="L249" s="405"/>
      <c r="M249" s="405"/>
      <c r="N249" s="405"/>
    </row>
    <row r="250" spans="3:14" x14ac:dyDescent="0.25">
      <c r="C250" s="405"/>
      <c r="D250" s="405"/>
      <c r="E250" s="405"/>
      <c r="F250" s="405"/>
      <c r="G250" s="405"/>
      <c r="H250" s="405"/>
      <c r="I250" s="405"/>
      <c r="J250" s="405"/>
      <c r="K250" s="405"/>
      <c r="L250" s="405"/>
      <c r="M250" s="405"/>
      <c r="N250" s="405"/>
    </row>
    <row r="251" spans="3:14" x14ac:dyDescent="0.25">
      <c r="C251" s="405"/>
      <c r="D251" s="405"/>
      <c r="E251" s="405"/>
      <c r="F251" s="405"/>
      <c r="G251" s="405"/>
      <c r="H251" s="405"/>
      <c r="I251" s="405"/>
      <c r="J251" s="405"/>
      <c r="K251" s="405"/>
      <c r="L251" s="405"/>
      <c r="M251" s="405"/>
      <c r="N251" s="405"/>
    </row>
    <row r="252" spans="3:14" x14ac:dyDescent="0.25">
      <c r="C252" s="405"/>
      <c r="D252" s="405"/>
      <c r="E252" s="405"/>
      <c r="F252" s="405"/>
      <c r="G252" s="405"/>
      <c r="H252" s="405"/>
      <c r="I252" s="405"/>
      <c r="J252" s="405"/>
      <c r="K252" s="405"/>
      <c r="L252" s="405"/>
      <c r="M252" s="405"/>
      <c r="N252" s="405"/>
    </row>
    <row r="253" spans="3:14" x14ac:dyDescent="0.25">
      <c r="C253" s="405"/>
      <c r="D253" s="405"/>
      <c r="E253" s="405"/>
      <c r="F253" s="405"/>
      <c r="G253" s="405"/>
      <c r="H253" s="405"/>
      <c r="I253" s="405"/>
      <c r="J253" s="405"/>
      <c r="K253" s="405"/>
      <c r="L253" s="405"/>
      <c r="M253" s="405"/>
      <c r="N253" s="405"/>
    </row>
    <row r="254" spans="3:14" x14ac:dyDescent="0.25">
      <c r="C254" s="405"/>
      <c r="D254" s="405"/>
      <c r="E254" s="405"/>
      <c r="F254" s="405"/>
      <c r="G254" s="405"/>
      <c r="H254" s="405"/>
      <c r="I254" s="405"/>
      <c r="J254" s="405"/>
      <c r="K254" s="405"/>
      <c r="L254" s="405"/>
      <c r="M254" s="405"/>
      <c r="N254" s="405"/>
    </row>
    <row r="255" spans="3:14" x14ac:dyDescent="0.25">
      <c r="C255" s="405"/>
      <c r="D255" s="405"/>
      <c r="E255" s="405"/>
      <c r="F255" s="405"/>
      <c r="G255" s="405"/>
      <c r="H255" s="405"/>
      <c r="I255" s="405"/>
      <c r="J255" s="405"/>
      <c r="K255" s="405"/>
      <c r="L255" s="405"/>
      <c r="M255" s="405"/>
      <c r="N255" s="405"/>
    </row>
    <row r="256" spans="3:14" x14ac:dyDescent="0.25">
      <c r="C256" s="405"/>
      <c r="D256" s="405"/>
      <c r="E256" s="405"/>
      <c r="F256" s="405"/>
      <c r="G256" s="405"/>
      <c r="H256" s="405"/>
      <c r="I256" s="405"/>
      <c r="J256" s="405"/>
      <c r="K256" s="405"/>
      <c r="L256" s="405"/>
      <c r="M256" s="405"/>
      <c r="N256" s="405"/>
    </row>
    <row r="257" spans="3:14" x14ac:dyDescent="0.25">
      <c r="C257" s="405"/>
      <c r="D257" s="405"/>
      <c r="E257" s="405"/>
      <c r="F257" s="405"/>
      <c r="G257" s="405"/>
      <c r="H257" s="405"/>
      <c r="I257" s="405"/>
      <c r="J257" s="405"/>
      <c r="K257" s="405"/>
      <c r="L257" s="405"/>
      <c r="M257" s="405"/>
      <c r="N257" s="405"/>
    </row>
    <row r="258" spans="3:14" x14ac:dyDescent="0.25">
      <c r="C258" s="405"/>
      <c r="D258" s="405"/>
      <c r="E258" s="405"/>
      <c r="F258" s="405"/>
      <c r="G258" s="405"/>
      <c r="H258" s="405"/>
      <c r="I258" s="405"/>
      <c r="J258" s="405"/>
      <c r="K258" s="405"/>
      <c r="L258" s="405"/>
      <c r="M258" s="405"/>
      <c r="N258" s="405"/>
    </row>
    <row r="259" spans="3:14" x14ac:dyDescent="0.25">
      <c r="C259" s="405"/>
      <c r="D259" s="405"/>
      <c r="E259" s="405"/>
      <c r="F259" s="405"/>
      <c r="G259" s="405"/>
      <c r="H259" s="405"/>
      <c r="I259" s="405"/>
      <c r="J259" s="405"/>
      <c r="K259" s="405"/>
      <c r="L259" s="405"/>
      <c r="M259" s="405"/>
      <c r="N259" s="405"/>
    </row>
    <row r="260" spans="3:14" x14ac:dyDescent="0.25">
      <c r="C260" s="405"/>
      <c r="D260" s="405"/>
      <c r="E260" s="405"/>
      <c r="F260" s="405"/>
      <c r="G260" s="405"/>
      <c r="H260" s="405"/>
      <c r="I260" s="405"/>
      <c r="J260" s="405"/>
      <c r="K260" s="405"/>
      <c r="L260" s="405"/>
      <c r="M260" s="405"/>
      <c r="N260" s="405"/>
    </row>
    <row r="261" spans="3:14" x14ac:dyDescent="0.25">
      <c r="C261" s="405"/>
      <c r="D261" s="405"/>
      <c r="E261" s="405"/>
      <c r="F261" s="405"/>
      <c r="G261" s="405"/>
      <c r="H261" s="405"/>
      <c r="I261" s="405"/>
      <c r="J261" s="405"/>
      <c r="K261" s="405"/>
      <c r="L261" s="405"/>
      <c r="M261" s="405"/>
      <c r="N261" s="405"/>
    </row>
    <row r="262" spans="3:14" x14ac:dyDescent="0.25">
      <c r="C262" s="405"/>
      <c r="D262" s="405"/>
      <c r="E262" s="405"/>
      <c r="F262" s="405"/>
      <c r="G262" s="405"/>
      <c r="H262" s="405"/>
      <c r="I262" s="405"/>
      <c r="J262" s="405"/>
      <c r="K262" s="405"/>
      <c r="L262" s="405"/>
      <c r="M262" s="405"/>
      <c r="N262" s="405"/>
    </row>
    <row r="263" spans="3:14" x14ac:dyDescent="0.25">
      <c r="C263" s="405"/>
      <c r="D263" s="405"/>
      <c r="E263" s="405"/>
      <c r="F263" s="405"/>
      <c r="G263" s="405"/>
      <c r="H263" s="405"/>
      <c r="I263" s="405"/>
      <c r="J263" s="405"/>
      <c r="K263" s="405"/>
      <c r="L263" s="405"/>
      <c r="M263" s="405"/>
      <c r="N263" s="405"/>
    </row>
    <row r="264" spans="3:14" x14ac:dyDescent="0.25">
      <c r="C264" s="405"/>
      <c r="D264" s="405"/>
      <c r="E264" s="405"/>
      <c r="F264" s="405"/>
      <c r="G264" s="405"/>
      <c r="H264" s="405"/>
      <c r="I264" s="405"/>
      <c r="J264" s="405"/>
      <c r="K264" s="405"/>
      <c r="L264" s="405"/>
      <c r="M264" s="405"/>
      <c r="N264" s="405"/>
    </row>
    <row r="265" spans="3:14" x14ac:dyDescent="0.25">
      <c r="C265" s="405"/>
      <c r="D265" s="405"/>
      <c r="E265" s="405"/>
      <c r="F265" s="405"/>
      <c r="G265" s="405"/>
      <c r="H265" s="405"/>
      <c r="I265" s="405"/>
      <c r="J265" s="405"/>
      <c r="K265" s="405"/>
      <c r="L265" s="405"/>
      <c r="M265" s="405"/>
      <c r="N265" s="405"/>
    </row>
    <row r="266" spans="3:14" x14ac:dyDescent="0.25">
      <c r="C266" s="405"/>
      <c r="D266" s="405"/>
      <c r="E266" s="405"/>
      <c r="F266" s="405"/>
      <c r="G266" s="405"/>
      <c r="H266" s="405"/>
      <c r="I266" s="405"/>
      <c r="J266" s="405"/>
      <c r="K266" s="405"/>
      <c r="L266" s="405"/>
      <c r="M266" s="405"/>
      <c r="N266" s="405"/>
    </row>
    <row r="267" spans="3:14" x14ac:dyDescent="0.25">
      <c r="C267" s="405"/>
      <c r="D267" s="405"/>
      <c r="E267" s="405"/>
      <c r="F267" s="405"/>
      <c r="G267" s="405"/>
      <c r="H267" s="405"/>
      <c r="I267" s="405"/>
      <c r="J267" s="405"/>
      <c r="K267" s="405"/>
      <c r="L267" s="405"/>
      <c r="M267" s="405"/>
      <c r="N267" s="405"/>
    </row>
    <row r="268" spans="3:14" x14ac:dyDescent="0.25">
      <c r="C268" s="405"/>
      <c r="D268" s="405"/>
      <c r="E268" s="405"/>
      <c r="F268" s="405"/>
      <c r="G268" s="405"/>
      <c r="H268" s="405"/>
      <c r="I268" s="405"/>
      <c r="J268" s="405"/>
      <c r="K268" s="405"/>
      <c r="L268" s="405"/>
      <c r="M268" s="405"/>
      <c r="N268" s="405"/>
    </row>
    <row r="269" spans="3:14" x14ac:dyDescent="0.25">
      <c r="C269" s="405"/>
      <c r="D269" s="405"/>
      <c r="E269" s="405"/>
      <c r="F269" s="405"/>
      <c r="G269" s="405"/>
      <c r="H269" s="405"/>
      <c r="I269" s="405"/>
      <c r="J269" s="405"/>
      <c r="K269" s="405"/>
      <c r="L269" s="405"/>
      <c r="M269" s="405"/>
      <c r="N269" s="405"/>
    </row>
    <row r="270" spans="3:14" x14ac:dyDescent="0.25">
      <c r="C270" s="405"/>
      <c r="D270" s="405"/>
      <c r="E270" s="405"/>
      <c r="F270" s="405"/>
      <c r="G270" s="405"/>
      <c r="H270" s="405"/>
      <c r="I270" s="405"/>
      <c r="J270" s="405"/>
      <c r="K270" s="405"/>
      <c r="L270" s="405"/>
      <c r="M270" s="405"/>
      <c r="N270" s="405"/>
    </row>
    <row r="271" spans="3:14" x14ac:dyDescent="0.25">
      <c r="C271" s="405"/>
      <c r="D271" s="405"/>
      <c r="E271" s="405"/>
      <c r="F271" s="405"/>
      <c r="G271" s="405"/>
      <c r="H271" s="405"/>
      <c r="I271" s="405"/>
      <c r="J271" s="405"/>
      <c r="K271" s="405"/>
      <c r="L271" s="405"/>
      <c r="M271" s="405"/>
      <c r="N271" s="405"/>
    </row>
    <row r="272" spans="3:14" x14ac:dyDescent="0.25">
      <c r="C272" s="405"/>
      <c r="D272" s="405"/>
      <c r="E272" s="405"/>
      <c r="F272" s="405"/>
      <c r="G272" s="405"/>
      <c r="H272" s="405"/>
      <c r="I272" s="405"/>
      <c r="J272" s="405"/>
      <c r="K272" s="405"/>
      <c r="L272" s="405"/>
      <c r="M272" s="405"/>
      <c r="N272" s="405"/>
    </row>
    <row r="273" spans="3:14" x14ac:dyDescent="0.25">
      <c r="C273" s="405"/>
      <c r="D273" s="405"/>
      <c r="E273" s="405"/>
      <c r="F273" s="405"/>
      <c r="G273" s="405"/>
      <c r="H273" s="405"/>
      <c r="I273" s="405"/>
      <c r="J273" s="405"/>
      <c r="K273" s="405"/>
      <c r="L273" s="405"/>
      <c r="M273" s="405"/>
      <c r="N273" s="405"/>
    </row>
    <row r="274" spans="3:14" x14ac:dyDescent="0.25">
      <c r="C274" s="405"/>
      <c r="D274" s="405"/>
      <c r="E274" s="405"/>
      <c r="F274" s="405"/>
      <c r="G274" s="405"/>
      <c r="H274" s="405"/>
      <c r="I274" s="405"/>
      <c r="J274" s="405"/>
      <c r="K274" s="405"/>
      <c r="L274" s="405"/>
      <c r="M274" s="405"/>
      <c r="N274" s="405"/>
    </row>
    <row r="275" spans="3:14" x14ac:dyDescent="0.25">
      <c r="C275" s="405"/>
      <c r="D275" s="405"/>
      <c r="E275" s="405"/>
      <c r="F275" s="405"/>
      <c r="G275" s="405"/>
      <c r="H275" s="405"/>
      <c r="I275" s="405"/>
      <c r="J275" s="405"/>
      <c r="K275" s="405"/>
      <c r="L275" s="405"/>
      <c r="M275" s="405"/>
      <c r="N275" s="405"/>
    </row>
    <row r="276" spans="3:14" x14ac:dyDescent="0.25">
      <c r="C276" s="405"/>
      <c r="D276" s="405"/>
      <c r="E276" s="405"/>
      <c r="F276" s="405"/>
      <c r="G276" s="405"/>
      <c r="H276" s="405"/>
      <c r="I276" s="405"/>
      <c r="J276" s="405"/>
      <c r="K276" s="405"/>
      <c r="L276" s="405"/>
      <c r="M276" s="405"/>
      <c r="N276" s="405"/>
    </row>
    <row r="277" spans="3:14" x14ac:dyDescent="0.25">
      <c r="C277" s="405"/>
      <c r="D277" s="405"/>
      <c r="E277" s="405"/>
      <c r="F277" s="405"/>
      <c r="G277" s="405"/>
      <c r="H277" s="405"/>
      <c r="I277" s="405"/>
      <c r="J277" s="405"/>
      <c r="K277" s="405"/>
      <c r="L277" s="405"/>
      <c r="M277" s="405"/>
      <c r="N277" s="405"/>
    </row>
    <row r="278" spans="3:14" x14ac:dyDescent="0.25">
      <c r="C278" s="405"/>
      <c r="D278" s="405"/>
      <c r="E278" s="405"/>
      <c r="F278" s="405"/>
      <c r="G278" s="405"/>
      <c r="H278" s="405"/>
      <c r="I278" s="405"/>
      <c r="J278" s="405"/>
      <c r="K278" s="405"/>
      <c r="L278" s="405"/>
      <c r="M278" s="405"/>
      <c r="N278" s="405"/>
    </row>
    <row r="279" spans="3:14" x14ac:dyDescent="0.25">
      <c r="C279" s="405"/>
      <c r="D279" s="405"/>
      <c r="E279" s="405"/>
      <c r="F279" s="405"/>
      <c r="G279" s="405"/>
      <c r="H279" s="405"/>
      <c r="I279" s="405"/>
      <c r="J279" s="405"/>
      <c r="K279" s="405"/>
      <c r="L279" s="405"/>
      <c r="M279" s="405"/>
      <c r="N279" s="405"/>
    </row>
    <row r="280" spans="3:14" x14ac:dyDescent="0.25">
      <c r="C280" s="405"/>
      <c r="D280" s="405"/>
      <c r="E280" s="405"/>
      <c r="F280" s="405"/>
      <c r="G280" s="405"/>
      <c r="H280" s="405"/>
      <c r="I280" s="405"/>
      <c r="J280" s="405"/>
      <c r="K280" s="405"/>
      <c r="L280" s="405"/>
      <c r="M280" s="405"/>
      <c r="N280" s="405"/>
    </row>
    <row r="281" spans="3:14" x14ac:dyDescent="0.25">
      <c r="C281" s="405"/>
      <c r="D281" s="405"/>
      <c r="E281" s="405"/>
      <c r="F281" s="405"/>
      <c r="G281" s="405"/>
      <c r="H281" s="405"/>
      <c r="I281" s="405"/>
      <c r="J281" s="405"/>
      <c r="K281" s="405"/>
      <c r="L281" s="405"/>
      <c r="M281" s="405"/>
      <c r="N281" s="405"/>
    </row>
    <row r="282" spans="3:14" x14ac:dyDescent="0.25">
      <c r="C282" s="405"/>
      <c r="D282" s="405"/>
      <c r="E282" s="405"/>
      <c r="F282" s="405"/>
      <c r="G282" s="405"/>
      <c r="H282" s="405"/>
      <c r="I282" s="405"/>
      <c r="J282" s="405"/>
      <c r="K282" s="405"/>
      <c r="L282" s="405"/>
      <c r="M282" s="405"/>
      <c r="N282" s="405"/>
    </row>
    <row r="283" spans="3:14" x14ac:dyDescent="0.25">
      <c r="C283" s="405"/>
      <c r="D283" s="405"/>
      <c r="E283" s="405"/>
      <c r="F283" s="405"/>
      <c r="G283" s="405"/>
      <c r="H283" s="405"/>
      <c r="I283" s="405"/>
      <c r="J283" s="405"/>
      <c r="K283" s="405"/>
      <c r="L283" s="405"/>
      <c r="M283" s="405"/>
      <c r="N283" s="405"/>
    </row>
    <row r="284" spans="3:14" x14ac:dyDescent="0.25">
      <c r="C284" s="405"/>
      <c r="D284" s="405"/>
      <c r="E284" s="405"/>
      <c r="F284" s="405"/>
      <c r="G284" s="405"/>
      <c r="H284" s="405"/>
      <c r="I284" s="405"/>
      <c r="J284" s="405"/>
      <c r="K284" s="405"/>
      <c r="L284" s="405"/>
      <c r="M284" s="405"/>
      <c r="N284" s="405"/>
    </row>
    <row r="285" spans="3:14" x14ac:dyDescent="0.25">
      <c r="C285" s="405"/>
      <c r="D285" s="405"/>
      <c r="E285" s="405"/>
      <c r="F285" s="405"/>
      <c r="G285" s="405"/>
      <c r="H285" s="405"/>
      <c r="I285" s="405"/>
      <c r="J285" s="405"/>
      <c r="K285" s="405"/>
      <c r="L285" s="405"/>
      <c r="M285" s="405"/>
      <c r="N285" s="405"/>
    </row>
    <row r="286" spans="3:14" x14ac:dyDescent="0.25">
      <c r="C286" s="405"/>
      <c r="D286" s="405"/>
      <c r="E286" s="405"/>
      <c r="F286" s="405"/>
      <c r="G286" s="405"/>
      <c r="H286" s="405"/>
      <c r="I286" s="405"/>
      <c r="J286" s="405"/>
      <c r="K286" s="405"/>
      <c r="L286" s="405"/>
      <c r="M286" s="405"/>
      <c r="N286" s="405"/>
    </row>
    <row r="287" spans="3:14" x14ac:dyDescent="0.25">
      <c r="C287" s="405"/>
      <c r="D287" s="405"/>
      <c r="E287" s="405"/>
      <c r="F287" s="405"/>
      <c r="G287" s="405"/>
      <c r="H287" s="405"/>
      <c r="I287" s="405"/>
      <c r="J287" s="405"/>
      <c r="K287" s="405"/>
      <c r="L287" s="405"/>
      <c r="M287" s="405"/>
      <c r="N287" s="405"/>
    </row>
    <row r="288" spans="3:14" x14ac:dyDescent="0.25">
      <c r="C288" s="405"/>
      <c r="D288" s="405"/>
      <c r="E288" s="405"/>
      <c r="F288" s="405"/>
      <c r="G288" s="405"/>
      <c r="H288" s="405"/>
      <c r="I288" s="405"/>
      <c r="J288" s="405"/>
      <c r="K288" s="405"/>
      <c r="L288" s="405"/>
      <c r="M288" s="405"/>
      <c r="N288" s="405"/>
    </row>
    <row r="289" spans="3:14" x14ac:dyDescent="0.25">
      <c r="C289" s="405"/>
      <c r="D289" s="405"/>
      <c r="E289" s="405"/>
      <c r="F289" s="405"/>
      <c r="G289" s="405"/>
      <c r="H289" s="405"/>
      <c r="I289" s="405"/>
      <c r="J289" s="405"/>
      <c r="K289" s="405"/>
      <c r="L289" s="405"/>
      <c r="M289" s="405"/>
      <c r="N289" s="405"/>
    </row>
    <row r="290" spans="3:14" x14ac:dyDescent="0.25">
      <c r="C290" s="405"/>
      <c r="D290" s="405"/>
      <c r="E290" s="405"/>
      <c r="F290" s="405"/>
      <c r="G290" s="405"/>
      <c r="H290" s="405"/>
      <c r="I290" s="405"/>
      <c r="J290" s="405"/>
      <c r="K290" s="405"/>
      <c r="L290" s="405"/>
      <c r="M290" s="405"/>
      <c r="N290" s="405"/>
    </row>
    <row r="291" spans="3:14" x14ac:dyDescent="0.25">
      <c r="C291" s="405"/>
      <c r="D291" s="405"/>
      <c r="E291" s="405"/>
      <c r="F291" s="405"/>
      <c r="G291" s="405"/>
      <c r="H291" s="405"/>
      <c r="I291" s="405"/>
      <c r="J291" s="405"/>
      <c r="K291" s="405"/>
      <c r="L291" s="405"/>
      <c r="M291" s="405"/>
      <c r="N291" s="405"/>
    </row>
    <row r="292" spans="3:14" x14ac:dyDescent="0.25">
      <c r="C292" s="405"/>
      <c r="D292" s="405"/>
      <c r="E292" s="405"/>
      <c r="F292" s="405"/>
      <c r="G292" s="405"/>
      <c r="H292" s="405"/>
      <c r="I292" s="405"/>
      <c r="J292" s="405"/>
      <c r="K292" s="405"/>
      <c r="L292" s="405"/>
      <c r="M292" s="405"/>
      <c r="N292" s="405"/>
    </row>
    <row r="293" spans="3:14" x14ac:dyDescent="0.25">
      <c r="C293" s="405"/>
      <c r="D293" s="405"/>
      <c r="E293" s="405"/>
      <c r="F293" s="405"/>
      <c r="G293" s="405"/>
      <c r="H293" s="405"/>
      <c r="I293" s="405"/>
      <c r="J293" s="405"/>
      <c r="K293" s="405"/>
      <c r="L293" s="405"/>
      <c r="M293" s="405"/>
      <c r="N293" s="405"/>
    </row>
    <row r="294" spans="3:14" x14ac:dyDescent="0.25">
      <c r="C294" s="405"/>
      <c r="D294" s="405"/>
      <c r="E294" s="405"/>
      <c r="F294" s="405"/>
      <c r="G294" s="405"/>
      <c r="H294" s="405"/>
      <c r="I294" s="405"/>
      <c r="J294" s="405"/>
      <c r="K294" s="405"/>
      <c r="L294" s="405"/>
      <c r="M294" s="405"/>
      <c r="N294" s="405"/>
    </row>
    <row r="295" spans="3:14" x14ac:dyDescent="0.25">
      <c r="C295" s="405"/>
      <c r="D295" s="405"/>
      <c r="E295" s="405"/>
      <c r="F295" s="405"/>
      <c r="G295" s="405"/>
      <c r="H295" s="405"/>
      <c r="I295" s="405"/>
      <c r="J295" s="405"/>
      <c r="K295" s="405"/>
      <c r="L295" s="405"/>
      <c r="M295" s="405"/>
      <c r="N295" s="405"/>
    </row>
    <row r="296" spans="3:14" x14ac:dyDescent="0.25">
      <c r="C296" s="405"/>
      <c r="D296" s="405"/>
      <c r="E296" s="405"/>
      <c r="F296" s="405"/>
      <c r="G296" s="405"/>
      <c r="H296" s="405"/>
      <c r="I296" s="405"/>
      <c r="J296" s="405"/>
      <c r="K296" s="405"/>
      <c r="L296" s="405"/>
      <c r="M296" s="405"/>
      <c r="N296" s="405"/>
    </row>
    <row r="297" spans="3:14" x14ac:dyDescent="0.25">
      <c r="C297" s="405"/>
      <c r="D297" s="405"/>
      <c r="E297" s="405"/>
      <c r="F297" s="405"/>
      <c r="G297" s="405"/>
      <c r="H297" s="405"/>
      <c r="I297" s="405"/>
      <c r="J297" s="405"/>
      <c r="K297" s="405"/>
      <c r="L297" s="405"/>
      <c r="M297" s="405"/>
      <c r="N297" s="405"/>
    </row>
    <row r="298" spans="3:14" x14ac:dyDescent="0.25">
      <c r="C298" s="405"/>
      <c r="D298" s="405"/>
      <c r="E298" s="405"/>
      <c r="F298" s="405"/>
      <c r="G298" s="405"/>
      <c r="H298" s="405"/>
      <c r="I298" s="405"/>
      <c r="J298" s="405"/>
      <c r="K298" s="405"/>
      <c r="L298" s="405"/>
      <c r="M298" s="405"/>
      <c r="N298" s="405"/>
    </row>
    <row r="299" spans="3:14" x14ac:dyDescent="0.25">
      <c r="C299" s="405"/>
      <c r="D299" s="405"/>
      <c r="E299" s="405"/>
      <c r="F299" s="405"/>
      <c r="G299" s="405"/>
      <c r="H299" s="405"/>
      <c r="I299" s="405"/>
      <c r="J299" s="405"/>
      <c r="K299" s="405"/>
      <c r="L299" s="405"/>
      <c r="M299" s="405"/>
      <c r="N299" s="405"/>
    </row>
    <row r="300" spans="3:14" x14ac:dyDescent="0.25">
      <c r="C300" s="405"/>
      <c r="D300" s="405"/>
      <c r="E300" s="405"/>
      <c r="F300" s="405"/>
      <c r="G300" s="405"/>
      <c r="H300" s="405"/>
      <c r="I300" s="405"/>
      <c r="J300" s="405"/>
      <c r="K300" s="405"/>
      <c r="L300" s="405"/>
      <c r="M300" s="405"/>
      <c r="N300" s="405"/>
    </row>
    <row r="301" spans="3:14" x14ac:dyDescent="0.25">
      <c r="C301" s="405"/>
      <c r="D301" s="405"/>
      <c r="E301" s="405"/>
      <c r="F301" s="405"/>
      <c r="G301" s="405"/>
      <c r="H301" s="405"/>
      <c r="I301" s="405"/>
      <c r="J301" s="405"/>
      <c r="K301" s="405"/>
      <c r="L301" s="405"/>
      <c r="M301" s="405"/>
      <c r="N301" s="405"/>
    </row>
    <row r="302" spans="3:14" x14ac:dyDescent="0.25">
      <c r="C302" s="405"/>
      <c r="D302" s="405"/>
      <c r="E302" s="405"/>
      <c r="F302" s="405"/>
      <c r="G302" s="405"/>
      <c r="H302" s="405"/>
      <c r="I302" s="405"/>
      <c r="J302" s="405"/>
      <c r="K302" s="405"/>
      <c r="L302" s="405"/>
      <c r="M302" s="405"/>
      <c r="N302" s="405"/>
    </row>
    <row r="303" spans="3:14" x14ac:dyDescent="0.25">
      <c r="C303" s="405"/>
      <c r="D303" s="405"/>
      <c r="E303" s="405"/>
      <c r="F303" s="405"/>
      <c r="G303" s="405"/>
      <c r="H303" s="405"/>
      <c r="I303" s="405"/>
      <c r="J303" s="405"/>
      <c r="K303" s="405"/>
      <c r="L303" s="405"/>
      <c r="M303" s="405"/>
      <c r="N303" s="405"/>
    </row>
    <row r="304" spans="3:14" x14ac:dyDescent="0.25">
      <c r="C304" s="405"/>
      <c r="D304" s="405"/>
      <c r="E304" s="405"/>
      <c r="F304" s="405"/>
      <c r="G304" s="405"/>
      <c r="H304" s="405"/>
      <c r="I304" s="405"/>
      <c r="J304" s="405"/>
      <c r="K304" s="405"/>
      <c r="L304" s="405"/>
      <c r="M304" s="405"/>
      <c r="N304" s="405"/>
    </row>
    <row r="305" spans="3:14" x14ac:dyDescent="0.25">
      <c r="C305" s="405"/>
      <c r="D305" s="405"/>
      <c r="E305" s="405"/>
      <c r="F305" s="405"/>
      <c r="G305" s="405"/>
      <c r="H305" s="405"/>
      <c r="I305" s="405"/>
      <c r="J305" s="405"/>
      <c r="K305" s="405"/>
      <c r="L305" s="405"/>
      <c r="M305" s="405"/>
      <c r="N305" s="405"/>
    </row>
    <row r="306" spans="3:14" x14ac:dyDescent="0.25">
      <c r="C306" s="405"/>
      <c r="D306" s="405"/>
      <c r="E306" s="405"/>
      <c r="F306" s="405"/>
      <c r="G306" s="405"/>
      <c r="H306" s="405"/>
      <c r="I306" s="405"/>
      <c r="J306" s="405"/>
      <c r="K306" s="405"/>
      <c r="L306" s="405"/>
      <c r="M306" s="405"/>
      <c r="N306" s="405"/>
    </row>
    <row r="307" spans="3:14" x14ac:dyDescent="0.25">
      <c r="C307" s="405"/>
      <c r="D307" s="405"/>
      <c r="E307" s="405"/>
      <c r="F307" s="405"/>
      <c r="G307" s="405"/>
      <c r="H307" s="405"/>
      <c r="I307" s="405"/>
      <c r="J307" s="405"/>
      <c r="K307" s="405"/>
      <c r="L307" s="405"/>
      <c r="M307" s="405"/>
      <c r="N307" s="405"/>
    </row>
    <row r="308" spans="3:14" x14ac:dyDescent="0.25">
      <c r="C308" s="405"/>
      <c r="D308" s="405"/>
      <c r="E308" s="405"/>
      <c r="F308" s="405"/>
      <c r="G308" s="405"/>
      <c r="H308" s="405"/>
      <c r="I308" s="405"/>
      <c r="J308" s="405"/>
      <c r="K308" s="405"/>
      <c r="L308" s="405"/>
      <c r="M308" s="405"/>
      <c r="N308" s="405"/>
    </row>
    <row r="309" spans="3:14" x14ac:dyDescent="0.25">
      <c r="C309" s="405"/>
      <c r="D309" s="405"/>
      <c r="E309" s="405"/>
      <c r="F309" s="405"/>
      <c r="G309" s="405"/>
      <c r="H309" s="405"/>
      <c r="I309" s="405"/>
      <c r="J309" s="405"/>
      <c r="K309" s="405"/>
      <c r="L309" s="405"/>
      <c r="M309" s="405"/>
      <c r="N309" s="405"/>
    </row>
    <row r="310" spans="3:14" x14ac:dyDescent="0.25">
      <c r="C310" s="405"/>
      <c r="D310" s="405"/>
      <c r="E310" s="405"/>
      <c r="F310" s="405"/>
      <c r="G310" s="405"/>
      <c r="H310" s="405"/>
      <c r="I310" s="405"/>
      <c r="J310" s="405"/>
      <c r="K310" s="405"/>
      <c r="L310" s="405"/>
      <c r="M310" s="405"/>
      <c r="N310" s="405"/>
    </row>
    <row r="311" spans="3:14" x14ac:dyDescent="0.25">
      <c r="C311" s="405"/>
      <c r="D311" s="405"/>
      <c r="E311" s="405"/>
      <c r="F311" s="405"/>
      <c r="G311" s="405"/>
      <c r="H311" s="405"/>
      <c r="I311" s="405"/>
      <c r="J311" s="405"/>
      <c r="K311" s="405"/>
      <c r="L311" s="405"/>
      <c r="M311" s="405"/>
      <c r="N311" s="405"/>
    </row>
    <row r="312" spans="3:14" x14ac:dyDescent="0.25">
      <c r="C312" s="405"/>
      <c r="D312" s="405"/>
      <c r="E312" s="405"/>
      <c r="F312" s="405"/>
      <c r="G312" s="405"/>
      <c r="H312" s="405"/>
      <c r="I312" s="405"/>
      <c r="J312" s="405"/>
      <c r="K312" s="405"/>
      <c r="L312" s="405"/>
      <c r="M312" s="405"/>
      <c r="N312" s="405"/>
    </row>
    <row r="313" spans="3:14" x14ac:dyDescent="0.25">
      <c r="C313" s="405"/>
      <c r="D313" s="405"/>
      <c r="E313" s="405"/>
      <c r="F313" s="405"/>
      <c r="G313" s="405"/>
      <c r="H313" s="405"/>
      <c r="I313" s="405"/>
      <c r="J313" s="405"/>
      <c r="K313" s="405"/>
      <c r="L313" s="405"/>
      <c r="M313" s="405"/>
      <c r="N313" s="405"/>
    </row>
    <row r="314" spans="3:14" x14ac:dyDescent="0.25">
      <c r="C314" s="405"/>
      <c r="D314" s="405"/>
      <c r="E314" s="405"/>
      <c r="F314" s="405"/>
      <c r="G314" s="405"/>
      <c r="H314" s="405"/>
      <c r="I314" s="405"/>
      <c r="J314" s="405"/>
      <c r="K314" s="405"/>
      <c r="L314" s="405"/>
      <c r="M314" s="405"/>
      <c r="N314" s="405"/>
    </row>
    <row r="315" spans="3:14" x14ac:dyDescent="0.25">
      <c r="C315" s="405"/>
      <c r="D315" s="405"/>
      <c r="E315" s="405"/>
      <c r="F315" s="405"/>
      <c r="G315" s="405"/>
      <c r="H315" s="405"/>
      <c r="I315" s="405"/>
      <c r="J315" s="405"/>
      <c r="K315" s="405"/>
      <c r="L315" s="405"/>
      <c r="M315" s="405"/>
      <c r="N315" s="405"/>
    </row>
    <row r="316" spans="3:14" x14ac:dyDescent="0.25">
      <c r="C316" s="405"/>
      <c r="D316" s="405"/>
      <c r="E316" s="405"/>
      <c r="F316" s="405"/>
      <c r="G316" s="405"/>
      <c r="H316" s="405"/>
      <c r="I316" s="405"/>
      <c r="J316" s="405"/>
      <c r="K316" s="405"/>
      <c r="L316" s="405"/>
      <c r="M316" s="405"/>
      <c r="N316" s="405"/>
    </row>
    <row r="317" spans="3:14" x14ac:dyDescent="0.25">
      <c r="C317" s="405"/>
      <c r="D317" s="405"/>
      <c r="E317" s="405"/>
      <c r="F317" s="405"/>
      <c r="G317" s="405"/>
      <c r="H317" s="405"/>
      <c r="I317" s="405"/>
      <c r="J317" s="405"/>
      <c r="K317" s="405"/>
      <c r="L317" s="405"/>
      <c r="M317" s="405"/>
      <c r="N317" s="405"/>
    </row>
    <row r="318" spans="3:14" x14ac:dyDescent="0.25">
      <c r="C318" s="405"/>
      <c r="D318" s="405"/>
      <c r="E318" s="405"/>
      <c r="F318" s="405"/>
      <c r="G318" s="405"/>
      <c r="H318" s="405"/>
      <c r="I318" s="405"/>
      <c r="J318" s="405"/>
      <c r="K318" s="405"/>
      <c r="L318" s="405"/>
      <c r="M318" s="405"/>
      <c r="N318" s="405"/>
    </row>
    <row r="319" spans="3:14" x14ac:dyDescent="0.25">
      <c r="C319" s="405"/>
      <c r="D319" s="405"/>
      <c r="E319" s="405"/>
      <c r="F319" s="405"/>
      <c r="G319" s="405"/>
      <c r="H319" s="405"/>
      <c r="I319" s="405"/>
      <c r="J319" s="405"/>
      <c r="K319" s="405"/>
      <c r="L319" s="405"/>
      <c r="M319" s="405"/>
      <c r="N319" s="405"/>
    </row>
    <row r="320" spans="3:14" x14ac:dyDescent="0.25">
      <c r="C320" s="405"/>
      <c r="D320" s="405"/>
      <c r="E320" s="405"/>
      <c r="F320" s="405"/>
      <c r="G320" s="405"/>
      <c r="H320" s="405"/>
      <c r="I320" s="405"/>
      <c r="J320" s="405"/>
      <c r="K320" s="405"/>
      <c r="L320" s="405"/>
      <c r="M320" s="405"/>
      <c r="N320" s="405"/>
    </row>
    <row r="321" spans="3:14" x14ac:dyDescent="0.25">
      <c r="C321" s="405"/>
      <c r="D321" s="405"/>
      <c r="E321" s="405"/>
      <c r="F321" s="405"/>
      <c r="G321" s="405"/>
      <c r="H321" s="405"/>
      <c r="I321" s="405"/>
      <c r="J321" s="405"/>
      <c r="K321" s="405"/>
      <c r="L321" s="405"/>
      <c r="M321" s="405"/>
      <c r="N321" s="405"/>
    </row>
    <row r="322" spans="3:14" x14ac:dyDescent="0.25">
      <c r="C322" s="405"/>
      <c r="D322" s="405"/>
      <c r="E322" s="405"/>
      <c r="F322" s="405"/>
      <c r="G322" s="405"/>
      <c r="H322" s="405"/>
      <c r="I322" s="405"/>
      <c r="J322" s="405"/>
      <c r="K322" s="405"/>
      <c r="L322" s="405"/>
      <c r="M322" s="405"/>
      <c r="N322" s="405"/>
    </row>
    <row r="323" spans="3:14" x14ac:dyDescent="0.25">
      <c r="C323" s="405"/>
      <c r="D323" s="405"/>
      <c r="E323" s="405"/>
      <c r="F323" s="405"/>
      <c r="G323" s="405"/>
      <c r="H323" s="405"/>
      <c r="I323" s="405"/>
      <c r="J323" s="405"/>
      <c r="K323" s="405"/>
      <c r="L323" s="405"/>
      <c r="M323" s="405"/>
      <c r="N323" s="405"/>
    </row>
    <row r="324" spans="3:14" x14ac:dyDescent="0.25">
      <c r="C324" s="405"/>
      <c r="D324" s="405"/>
      <c r="E324" s="405"/>
      <c r="F324" s="405"/>
      <c r="G324" s="405"/>
      <c r="H324" s="405"/>
      <c r="I324" s="405"/>
      <c r="J324" s="405"/>
      <c r="K324" s="405"/>
      <c r="L324" s="405"/>
      <c r="M324" s="405"/>
      <c r="N324" s="405"/>
    </row>
    <row r="325" spans="3:14" x14ac:dyDescent="0.25">
      <c r="C325" s="405"/>
      <c r="D325" s="405"/>
      <c r="E325" s="405"/>
      <c r="F325" s="405"/>
      <c r="G325" s="405"/>
      <c r="H325" s="405"/>
      <c r="I325" s="405"/>
      <c r="J325" s="405"/>
      <c r="K325" s="405"/>
      <c r="L325" s="405"/>
      <c r="M325" s="405"/>
      <c r="N325" s="405"/>
    </row>
    <row r="326" spans="3:14" x14ac:dyDescent="0.25">
      <c r="C326" s="405"/>
      <c r="D326" s="405"/>
      <c r="E326" s="405"/>
      <c r="F326" s="405"/>
      <c r="G326" s="405"/>
      <c r="H326" s="405"/>
      <c r="I326" s="405"/>
      <c r="J326" s="405"/>
      <c r="K326" s="405"/>
      <c r="L326" s="405"/>
      <c r="M326" s="405"/>
      <c r="N326" s="405"/>
    </row>
    <row r="327" spans="3:14" x14ac:dyDescent="0.25">
      <c r="C327" s="405"/>
      <c r="D327" s="405"/>
      <c r="E327" s="405"/>
      <c r="F327" s="405"/>
      <c r="G327" s="405"/>
      <c r="H327" s="405"/>
      <c r="I327" s="405"/>
      <c r="J327" s="405"/>
      <c r="K327" s="405"/>
      <c r="L327" s="405"/>
      <c r="M327" s="405"/>
      <c r="N327" s="405"/>
    </row>
    <row r="328" spans="3:14" x14ac:dyDescent="0.25">
      <c r="C328" s="405"/>
      <c r="D328" s="405"/>
      <c r="E328" s="405"/>
      <c r="F328" s="405"/>
      <c r="G328" s="405"/>
      <c r="H328" s="405"/>
      <c r="I328" s="405"/>
      <c r="J328" s="405"/>
      <c r="K328" s="405"/>
      <c r="L328" s="405"/>
      <c r="M328" s="405"/>
      <c r="N328" s="405"/>
    </row>
    <row r="329" spans="3:14" x14ac:dyDescent="0.25">
      <c r="C329" s="405"/>
      <c r="D329" s="405"/>
      <c r="E329" s="405"/>
      <c r="F329" s="405"/>
      <c r="G329" s="405"/>
      <c r="H329" s="405"/>
      <c r="I329" s="405"/>
      <c r="J329" s="405"/>
      <c r="K329" s="405"/>
      <c r="L329" s="405"/>
      <c r="M329" s="405"/>
      <c r="N329" s="405"/>
    </row>
    <row r="330" spans="3:14" x14ac:dyDescent="0.25">
      <c r="C330" s="405"/>
      <c r="D330" s="405"/>
      <c r="E330" s="405"/>
      <c r="F330" s="405"/>
      <c r="G330" s="405"/>
      <c r="H330" s="405"/>
      <c r="I330" s="405"/>
      <c r="J330" s="405"/>
      <c r="K330" s="405"/>
      <c r="L330" s="405"/>
      <c r="M330" s="405"/>
      <c r="N330" s="405"/>
    </row>
    <row r="331" spans="3:14" x14ac:dyDescent="0.25">
      <c r="C331" s="405"/>
      <c r="D331" s="405"/>
      <c r="E331" s="405"/>
      <c r="F331" s="405"/>
      <c r="G331" s="405"/>
      <c r="H331" s="405"/>
      <c r="I331" s="405"/>
      <c r="J331" s="405"/>
      <c r="K331" s="405"/>
      <c r="L331" s="405"/>
      <c r="M331" s="405"/>
      <c r="N331" s="405"/>
    </row>
    <row r="332" spans="3:14" x14ac:dyDescent="0.25">
      <c r="C332" s="405"/>
      <c r="D332" s="405"/>
      <c r="E332" s="405"/>
      <c r="F332" s="405"/>
      <c r="G332" s="405"/>
      <c r="H332" s="405"/>
      <c r="I332" s="405"/>
      <c r="J332" s="405"/>
      <c r="K332" s="405"/>
      <c r="L332" s="405"/>
      <c r="M332" s="405"/>
      <c r="N332" s="405"/>
    </row>
    <row r="333" spans="3:14" x14ac:dyDescent="0.25">
      <c r="C333" s="405"/>
      <c r="D333" s="405"/>
      <c r="E333" s="405"/>
      <c r="F333" s="405"/>
      <c r="G333" s="405"/>
      <c r="H333" s="405"/>
      <c r="I333" s="405"/>
      <c r="J333" s="405"/>
      <c r="K333" s="405"/>
      <c r="L333" s="405"/>
      <c r="M333" s="405"/>
      <c r="N333" s="405"/>
    </row>
    <row r="334" spans="3:14" x14ac:dyDescent="0.25">
      <c r="C334" s="405"/>
      <c r="D334" s="405"/>
      <c r="E334" s="405"/>
      <c r="F334" s="405"/>
      <c r="G334" s="405"/>
      <c r="H334" s="405"/>
      <c r="I334" s="405"/>
      <c r="J334" s="405"/>
      <c r="K334" s="405"/>
      <c r="L334" s="405"/>
      <c r="M334" s="405"/>
      <c r="N334" s="405"/>
    </row>
    <row r="335" spans="3:14" x14ac:dyDescent="0.25">
      <c r="C335" s="405"/>
      <c r="D335" s="405"/>
      <c r="E335" s="405"/>
      <c r="F335" s="405"/>
      <c r="G335" s="405"/>
      <c r="H335" s="405"/>
      <c r="I335" s="405"/>
      <c r="J335" s="405"/>
      <c r="K335" s="405"/>
      <c r="L335" s="405"/>
      <c r="M335" s="405"/>
      <c r="N335" s="405"/>
    </row>
    <row r="336" spans="3:14" x14ac:dyDescent="0.25">
      <c r="C336" s="405"/>
      <c r="D336" s="405"/>
      <c r="E336" s="405"/>
      <c r="F336" s="405"/>
      <c r="G336" s="405"/>
      <c r="H336" s="405"/>
      <c r="I336" s="405"/>
      <c r="J336" s="405"/>
      <c r="K336" s="405"/>
      <c r="L336" s="405"/>
      <c r="M336" s="405"/>
      <c r="N336" s="405"/>
    </row>
    <row r="337" spans="3:14" x14ac:dyDescent="0.25">
      <c r="C337" s="405"/>
      <c r="D337" s="405"/>
      <c r="E337" s="405"/>
      <c r="F337" s="405"/>
      <c r="G337" s="405"/>
      <c r="H337" s="405"/>
      <c r="I337" s="405"/>
      <c r="J337" s="405"/>
      <c r="K337" s="405"/>
      <c r="L337" s="405"/>
      <c r="M337" s="405"/>
      <c r="N337" s="405"/>
    </row>
    <row r="338" spans="3:14" x14ac:dyDescent="0.25">
      <c r="C338" s="405"/>
      <c r="D338" s="405"/>
      <c r="E338" s="405"/>
      <c r="F338" s="405"/>
      <c r="G338" s="405"/>
      <c r="H338" s="405"/>
      <c r="I338" s="405"/>
      <c r="J338" s="405"/>
      <c r="K338" s="405"/>
      <c r="L338" s="405"/>
      <c r="M338" s="405"/>
      <c r="N338" s="405"/>
    </row>
    <row r="339" spans="3:14" x14ac:dyDescent="0.25">
      <c r="C339" s="405"/>
      <c r="D339" s="405"/>
      <c r="E339" s="405"/>
      <c r="F339" s="405"/>
      <c r="G339" s="405"/>
      <c r="H339" s="405"/>
      <c r="I339" s="405"/>
      <c r="J339" s="405"/>
      <c r="K339" s="405"/>
      <c r="L339" s="405"/>
      <c r="M339" s="405"/>
      <c r="N339" s="405"/>
    </row>
    <row r="340" spans="3:14" x14ac:dyDescent="0.25">
      <c r="C340" s="405"/>
      <c r="D340" s="405"/>
      <c r="E340" s="405"/>
      <c r="F340" s="405"/>
      <c r="G340" s="405"/>
      <c r="H340" s="405"/>
      <c r="I340" s="405"/>
      <c r="J340" s="405"/>
      <c r="K340" s="405"/>
      <c r="L340" s="405"/>
      <c r="M340" s="405"/>
      <c r="N340" s="405"/>
    </row>
    <row r="341" spans="3:14" x14ac:dyDescent="0.25">
      <c r="C341" s="405"/>
      <c r="D341" s="405"/>
      <c r="E341" s="405"/>
      <c r="F341" s="405"/>
      <c r="G341" s="405"/>
      <c r="H341" s="405"/>
      <c r="I341" s="405"/>
      <c r="J341" s="405"/>
      <c r="K341" s="405"/>
      <c r="L341" s="405"/>
      <c r="M341" s="405"/>
      <c r="N341" s="405"/>
    </row>
    <row r="342" spans="3:14" x14ac:dyDescent="0.25">
      <c r="C342" s="405"/>
      <c r="D342" s="405"/>
      <c r="E342" s="405"/>
      <c r="F342" s="405"/>
      <c r="G342" s="405"/>
      <c r="H342" s="405"/>
      <c r="I342" s="405"/>
      <c r="J342" s="405"/>
      <c r="K342" s="405"/>
      <c r="L342" s="405"/>
      <c r="M342" s="405"/>
      <c r="N342" s="405"/>
    </row>
    <row r="343" spans="3:14" x14ac:dyDescent="0.25">
      <c r="C343" s="405"/>
      <c r="D343" s="405"/>
      <c r="E343" s="405"/>
      <c r="F343" s="405"/>
      <c r="G343" s="405"/>
      <c r="H343" s="405"/>
      <c r="I343" s="405"/>
      <c r="J343" s="405"/>
      <c r="K343" s="405"/>
      <c r="L343" s="405"/>
      <c r="M343" s="405"/>
      <c r="N343" s="405"/>
    </row>
    <row r="344" spans="3:14" x14ac:dyDescent="0.25">
      <c r="C344" s="405"/>
      <c r="D344" s="405"/>
      <c r="E344" s="405"/>
      <c r="F344" s="405"/>
      <c r="G344" s="405"/>
      <c r="H344" s="405"/>
      <c r="I344" s="405"/>
      <c r="J344" s="405"/>
      <c r="K344" s="405"/>
      <c r="L344" s="405"/>
      <c r="M344" s="405"/>
      <c r="N344" s="405"/>
    </row>
    <row r="345" spans="3:14" x14ac:dyDescent="0.25">
      <c r="C345" s="405"/>
      <c r="D345" s="405"/>
      <c r="E345" s="405"/>
      <c r="F345" s="405"/>
      <c r="G345" s="405"/>
      <c r="H345" s="405"/>
      <c r="I345" s="405"/>
      <c r="J345" s="405"/>
      <c r="K345" s="405"/>
      <c r="L345" s="405"/>
      <c r="M345" s="405"/>
      <c r="N345" s="405"/>
    </row>
    <row r="346" spans="3:14" x14ac:dyDescent="0.25">
      <c r="C346" s="405"/>
      <c r="D346" s="405"/>
      <c r="E346" s="405"/>
      <c r="F346" s="405"/>
      <c r="G346" s="405"/>
      <c r="H346" s="405"/>
      <c r="I346" s="405"/>
      <c r="J346" s="405"/>
      <c r="K346" s="405"/>
      <c r="L346" s="405"/>
      <c r="M346" s="405"/>
      <c r="N346" s="405"/>
    </row>
    <row r="347" spans="3:14" x14ac:dyDescent="0.25">
      <c r="C347" s="405"/>
      <c r="D347" s="405"/>
      <c r="E347" s="405"/>
      <c r="F347" s="405"/>
      <c r="G347" s="405"/>
      <c r="H347" s="405"/>
      <c r="I347" s="405"/>
      <c r="J347" s="405"/>
      <c r="K347" s="405"/>
      <c r="L347" s="405"/>
      <c r="M347" s="405"/>
      <c r="N347" s="405"/>
    </row>
    <row r="348" spans="3:14" x14ac:dyDescent="0.25">
      <c r="C348" s="405"/>
      <c r="D348" s="405"/>
      <c r="E348" s="405"/>
      <c r="F348" s="405"/>
      <c r="G348" s="405"/>
      <c r="H348" s="405"/>
      <c r="I348" s="405"/>
      <c r="J348" s="405"/>
      <c r="K348" s="405"/>
      <c r="L348" s="405"/>
      <c r="M348" s="405"/>
      <c r="N348" s="405"/>
    </row>
    <row r="349" spans="3:14" x14ac:dyDescent="0.25">
      <c r="C349" s="405"/>
      <c r="D349" s="405"/>
      <c r="E349" s="405"/>
      <c r="F349" s="405"/>
      <c r="G349" s="405"/>
      <c r="H349" s="405"/>
      <c r="I349" s="405"/>
      <c r="J349" s="405"/>
      <c r="K349" s="405"/>
      <c r="L349" s="405"/>
      <c r="M349" s="405"/>
      <c r="N349" s="405"/>
    </row>
    <row r="350" spans="3:14" x14ac:dyDescent="0.25">
      <c r="C350" s="405"/>
      <c r="D350" s="405"/>
      <c r="E350" s="405"/>
      <c r="F350" s="405"/>
      <c r="G350" s="405"/>
      <c r="H350" s="405"/>
      <c r="I350" s="405"/>
      <c r="J350" s="405"/>
      <c r="K350" s="405"/>
      <c r="L350" s="405"/>
      <c r="M350" s="405"/>
      <c r="N350" s="405"/>
    </row>
    <row r="351" spans="3:14" x14ac:dyDescent="0.25">
      <c r="C351" s="405"/>
      <c r="D351" s="405"/>
      <c r="E351" s="405"/>
      <c r="F351" s="405"/>
      <c r="G351" s="405"/>
      <c r="H351" s="405"/>
      <c r="I351" s="405"/>
      <c r="J351" s="405"/>
      <c r="K351" s="405"/>
      <c r="L351" s="405"/>
      <c r="M351" s="405"/>
      <c r="N351" s="405"/>
    </row>
    <row r="352" spans="3:14" x14ac:dyDescent="0.25">
      <c r="C352" s="405"/>
      <c r="D352" s="405"/>
      <c r="E352" s="405"/>
      <c r="F352" s="405"/>
      <c r="G352" s="405"/>
      <c r="H352" s="405"/>
      <c r="I352" s="405"/>
      <c r="J352" s="405"/>
      <c r="K352" s="405"/>
      <c r="L352" s="405"/>
      <c r="M352" s="405"/>
      <c r="N352" s="405"/>
    </row>
    <row r="353" spans="3:14" x14ac:dyDescent="0.25">
      <c r="C353" s="405"/>
      <c r="D353" s="405"/>
      <c r="E353" s="405"/>
      <c r="F353" s="405"/>
      <c r="G353" s="405"/>
      <c r="H353" s="405"/>
      <c r="I353" s="405"/>
      <c r="J353" s="405"/>
      <c r="K353" s="405"/>
      <c r="L353" s="405"/>
      <c r="M353" s="405"/>
      <c r="N353" s="405"/>
    </row>
    <row r="354" spans="3:14" x14ac:dyDescent="0.25">
      <c r="C354" s="405"/>
      <c r="D354" s="405"/>
      <c r="E354" s="405"/>
      <c r="F354" s="405"/>
      <c r="G354" s="405"/>
      <c r="H354" s="405"/>
      <c r="I354" s="405"/>
      <c r="J354" s="405"/>
      <c r="K354" s="405"/>
      <c r="L354" s="405"/>
      <c r="M354" s="405"/>
      <c r="N354" s="405"/>
    </row>
    <row r="355" spans="3:14" x14ac:dyDescent="0.25">
      <c r="C355" s="405"/>
      <c r="D355" s="405"/>
      <c r="E355" s="405"/>
      <c r="F355" s="405"/>
      <c r="G355" s="405"/>
      <c r="H355" s="405"/>
      <c r="I355" s="405"/>
      <c r="J355" s="405"/>
      <c r="K355" s="405"/>
      <c r="L355" s="405"/>
      <c r="M355" s="405"/>
      <c r="N355" s="405"/>
    </row>
    <row r="356" spans="3:14" x14ac:dyDescent="0.25">
      <c r="C356" s="405"/>
      <c r="D356" s="405"/>
      <c r="E356" s="405"/>
      <c r="F356" s="405"/>
      <c r="G356" s="405"/>
      <c r="H356" s="405"/>
      <c r="I356" s="405"/>
      <c r="J356" s="405"/>
      <c r="K356" s="405"/>
      <c r="L356" s="405"/>
      <c r="M356" s="405"/>
      <c r="N356" s="405"/>
    </row>
    <row r="357" spans="3:14" x14ac:dyDescent="0.25">
      <c r="C357" s="405"/>
      <c r="D357" s="405"/>
      <c r="E357" s="405"/>
      <c r="F357" s="405"/>
      <c r="G357" s="405"/>
      <c r="H357" s="405"/>
      <c r="I357" s="405"/>
      <c r="J357" s="405"/>
      <c r="K357" s="405"/>
      <c r="L357" s="405"/>
      <c r="M357" s="405"/>
      <c r="N357" s="405"/>
    </row>
    <row r="358" spans="3:14" x14ac:dyDescent="0.25">
      <c r="C358" s="405"/>
      <c r="D358" s="405"/>
      <c r="E358" s="405"/>
      <c r="F358" s="405"/>
      <c r="G358" s="405"/>
      <c r="H358" s="405"/>
      <c r="I358" s="405"/>
      <c r="J358" s="405"/>
      <c r="K358" s="405"/>
      <c r="L358" s="405"/>
      <c r="M358" s="405"/>
      <c r="N358" s="405"/>
    </row>
    <row r="359" spans="3:14" x14ac:dyDescent="0.25">
      <c r="C359" s="405"/>
      <c r="D359" s="405"/>
      <c r="E359" s="405"/>
      <c r="F359" s="405"/>
      <c r="G359" s="405"/>
      <c r="H359" s="405"/>
      <c r="I359" s="405"/>
      <c r="J359" s="405"/>
      <c r="K359" s="405"/>
      <c r="L359" s="405"/>
      <c r="M359" s="405"/>
      <c r="N359" s="405"/>
    </row>
    <row r="360" spans="3:14" x14ac:dyDescent="0.25">
      <c r="C360" s="405"/>
      <c r="D360" s="405"/>
      <c r="E360" s="405"/>
      <c r="F360" s="405"/>
      <c r="G360" s="405"/>
      <c r="H360" s="405"/>
      <c r="I360" s="405"/>
      <c r="J360" s="405"/>
      <c r="K360" s="405"/>
      <c r="L360" s="405"/>
      <c r="M360" s="405"/>
      <c r="N360" s="405"/>
    </row>
    <row r="361" spans="3:14" x14ac:dyDescent="0.25">
      <c r="C361" s="405"/>
      <c r="D361" s="405"/>
      <c r="E361" s="405"/>
      <c r="F361" s="405"/>
      <c r="G361" s="405"/>
      <c r="H361" s="405"/>
      <c r="I361" s="405"/>
      <c r="J361" s="405"/>
      <c r="K361" s="405"/>
      <c r="L361" s="405"/>
      <c r="M361" s="405"/>
      <c r="N361" s="405"/>
    </row>
    <row r="362" spans="3:14" x14ac:dyDescent="0.25">
      <c r="C362" s="405"/>
      <c r="D362" s="405"/>
      <c r="E362" s="405"/>
      <c r="F362" s="405"/>
      <c r="G362" s="405"/>
      <c r="H362" s="405"/>
      <c r="I362" s="405"/>
      <c r="J362" s="405"/>
      <c r="K362" s="405"/>
      <c r="L362" s="405"/>
      <c r="M362" s="405"/>
      <c r="N362" s="405"/>
    </row>
    <row r="363" spans="3:14" x14ac:dyDescent="0.25">
      <c r="C363" s="405"/>
      <c r="D363" s="405"/>
      <c r="E363" s="405"/>
      <c r="F363" s="405"/>
      <c r="G363" s="405"/>
      <c r="H363" s="405"/>
      <c r="I363" s="405"/>
      <c r="J363" s="405"/>
      <c r="K363" s="405"/>
      <c r="L363" s="405"/>
      <c r="M363" s="405"/>
      <c r="N363" s="405"/>
    </row>
    <row r="364" spans="3:14" x14ac:dyDescent="0.25">
      <c r="C364" s="405"/>
      <c r="D364" s="405"/>
      <c r="E364" s="405"/>
      <c r="F364" s="405"/>
      <c r="G364" s="405"/>
      <c r="H364" s="405"/>
      <c r="I364" s="405"/>
      <c r="J364" s="405"/>
      <c r="K364" s="405"/>
      <c r="L364" s="405"/>
      <c r="M364" s="405"/>
      <c r="N364" s="405"/>
    </row>
    <row r="365" spans="3:14" x14ac:dyDescent="0.25">
      <c r="C365" s="405"/>
      <c r="D365" s="405"/>
      <c r="E365" s="405"/>
      <c r="F365" s="405"/>
      <c r="G365" s="405"/>
      <c r="H365" s="405"/>
      <c r="I365" s="405"/>
      <c r="J365" s="405"/>
      <c r="K365" s="405"/>
      <c r="L365" s="405"/>
      <c r="M365" s="405"/>
      <c r="N365" s="405"/>
    </row>
    <row r="366" spans="3:14" x14ac:dyDescent="0.25">
      <c r="C366" s="405"/>
      <c r="D366" s="405"/>
      <c r="E366" s="405"/>
      <c r="F366" s="405"/>
      <c r="G366" s="405"/>
      <c r="H366" s="405"/>
      <c r="I366" s="405"/>
      <c r="J366" s="405"/>
      <c r="K366" s="405"/>
      <c r="L366" s="405"/>
      <c r="M366" s="405"/>
      <c r="N366" s="405"/>
    </row>
    <row r="367" spans="3:14" x14ac:dyDescent="0.25">
      <c r="C367" s="405"/>
      <c r="D367" s="405"/>
      <c r="E367" s="405"/>
      <c r="F367" s="405"/>
      <c r="G367" s="405"/>
      <c r="H367" s="405"/>
      <c r="I367" s="405"/>
      <c r="J367" s="405"/>
      <c r="K367" s="405"/>
      <c r="L367" s="405"/>
      <c r="M367" s="405"/>
      <c r="N367" s="405"/>
    </row>
    <row r="368" spans="3:14" x14ac:dyDescent="0.25">
      <c r="C368" s="405"/>
      <c r="D368" s="405"/>
      <c r="E368" s="405"/>
      <c r="F368" s="405"/>
      <c r="G368" s="405"/>
      <c r="H368" s="405"/>
      <c r="I368" s="405"/>
      <c r="J368" s="405"/>
      <c r="K368" s="405"/>
      <c r="L368" s="405"/>
      <c r="M368" s="405"/>
      <c r="N368" s="405"/>
    </row>
    <row r="369" spans="3:14" x14ac:dyDescent="0.25">
      <c r="C369" s="405"/>
      <c r="D369" s="405"/>
      <c r="E369" s="405"/>
      <c r="F369" s="405"/>
      <c r="G369" s="405"/>
      <c r="H369" s="405"/>
      <c r="I369" s="405"/>
      <c r="J369" s="405"/>
      <c r="K369" s="405"/>
      <c r="L369" s="405"/>
      <c r="M369" s="405"/>
      <c r="N369" s="405"/>
    </row>
    <row r="370" spans="3:14" x14ac:dyDescent="0.25">
      <c r="C370" s="405"/>
      <c r="D370" s="405"/>
      <c r="E370" s="405"/>
      <c r="F370" s="405"/>
      <c r="G370" s="405"/>
      <c r="H370" s="405"/>
      <c r="I370" s="405"/>
      <c r="J370" s="405"/>
      <c r="K370" s="405"/>
      <c r="L370" s="405"/>
      <c r="M370" s="405"/>
      <c r="N370" s="405"/>
    </row>
    <row r="371" spans="3:14" x14ac:dyDescent="0.25">
      <c r="C371" s="405"/>
      <c r="D371" s="405"/>
      <c r="E371" s="405"/>
      <c r="F371" s="405"/>
      <c r="G371" s="405"/>
      <c r="H371" s="405"/>
      <c r="I371" s="405"/>
      <c r="J371" s="405"/>
      <c r="K371" s="405"/>
      <c r="L371" s="405"/>
      <c r="M371" s="405"/>
      <c r="N371" s="405"/>
    </row>
    <row r="372" spans="3:14" x14ac:dyDescent="0.25">
      <c r="C372" s="405"/>
      <c r="D372" s="405"/>
      <c r="E372" s="405"/>
      <c r="F372" s="405"/>
      <c r="G372" s="405"/>
      <c r="H372" s="405"/>
      <c r="I372" s="405"/>
      <c r="J372" s="405"/>
      <c r="K372" s="405"/>
      <c r="L372" s="405"/>
      <c r="M372" s="405"/>
      <c r="N372" s="405"/>
    </row>
    <row r="373" spans="3:14" x14ac:dyDescent="0.25">
      <c r="C373" s="405"/>
      <c r="D373" s="405"/>
      <c r="E373" s="405"/>
      <c r="F373" s="405"/>
      <c r="G373" s="405"/>
      <c r="H373" s="405"/>
      <c r="I373" s="405"/>
      <c r="J373" s="405"/>
      <c r="K373" s="405"/>
      <c r="L373" s="405"/>
      <c r="M373" s="405"/>
      <c r="N373" s="405"/>
    </row>
    <row r="374" spans="3:14" x14ac:dyDescent="0.25">
      <c r="C374" s="405"/>
      <c r="D374" s="405"/>
      <c r="E374" s="405"/>
      <c r="F374" s="405"/>
      <c r="G374" s="405"/>
      <c r="H374" s="405"/>
      <c r="I374" s="405"/>
      <c r="J374" s="405"/>
      <c r="K374" s="405"/>
      <c r="L374" s="405"/>
      <c r="M374" s="405"/>
      <c r="N374" s="405"/>
    </row>
    <row r="375" spans="3:14" x14ac:dyDescent="0.25">
      <c r="C375" s="405"/>
      <c r="D375" s="405"/>
      <c r="E375" s="405"/>
      <c r="F375" s="405"/>
      <c r="G375" s="405"/>
      <c r="H375" s="405"/>
      <c r="I375" s="405"/>
      <c r="J375" s="405"/>
      <c r="K375" s="405"/>
      <c r="L375" s="405"/>
      <c r="M375" s="405"/>
      <c r="N375" s="405"/>
    </row>
    <row r="376" spans="3:14" x14ac:dyDescent="0.25">
      <c r="C376" s="405"/>
      <c r="D376" s="405"/>
      <c r="E376" s="405"/>
      <c r="F376" s="405"/>
      <c r="G376" s="405"/>
      <c r="H376" s="405"/>
      <c r="I376" s="405"/>
      <c r="J376" s="405"/>
      <c r="K376" s="405"/>
      <c r="L376" s="405"/>
      <c r="M376" s="405"/>
      <c r="N376" s="405"/>
    </row>
    <row r="377" spans="3:14" x14ac:dyDescent="0.25">
      <c r="C377" s="405"/>
      <c r="D377" s="405"/>
      <c r="E377" s="405"/>
      <c r="F377" s="405"/>
      <c r="G377" s="405"/>
      <c r="H377" s="405"/>
      <c r="I377" s="405"/>
      <c r="J377" s="405"/>
      <c r="K377" s="405"/>
      <c r="L377" s="405"/>
      <c r="M377" s="405"/>
      <c r="N377" s="405"/>
    </row>
    <row r="378" spans="3:14" x14ac:dyDescent="0.25">
      <c r="C378" s="405"/>
      <c r="D378" s="405"/>
      <c r="E378" s="405"/>
      <c r="F378" s="405"/>
      <c r="G378" s="405"/>
      <c r="H378" s="405"/>
      <c r="I378" s="405"/>
      <c r="J378" s="405"/>
      <c r="K378" s="405"/>
      <c r="L378" s="405"/>
      <c r="M378" s="405"/>
      <c r="N378" s="405"/>
    </row>
    <row r="379" spans="3:14" x14ac:dyDescent="0.25">
      <c r="C379" s="405"/>
      <c r="D379" s="405"/>
      <c r="E379" s="405"/>
      <c r="F379" s="405"/>
      <c r="G379" s="405"/>
      <c r="H379" s="405"/>
      <c r="I379" s="405"/>
      <c r="J379" s="405"/>
      <c r="K379" s="405"/>
      <c r="L379" s="405"/>
      <c r="M379" s="405"/>
      <c r="N379" s="405"/>
    </row>
    <row r="380" spans="3:14" x14ac:dyDescent="0.25">
      <c r="C380" s="405"/>
      <c r="D380" s="405"/>
      <c r="E380" s="405"/>
      <c r="F380" s="405"/>
      <c r="G380" s="405"/>
      <c r="H380" s="405"/>
      <c r="I380" s="405"/>
      <c r="J380" s="405"/>
      <c r="K380" s="405"/>
      <c r="L380" s="405"/>
      <c r="M380" s="405"/>
      <c r="N380" s="405"/>
    </row>
    <row r="381" spans="3:14" x14ac:dyDescent="0.25">
      <c r="C381" s="405"/>
      <c r="D381" s="405"/>
      <c r="E381" s="405"/>
      <c r="F381" s="405"/>
      <c r="G381" s="405"/>
      <c r="H381" s="405"/>
      <c r="I381" s="405"/>
      <c r="J381" s="405"/>
      <c r="K381" s="405"/>
      <c r="L381" s="405"/>
      <c r="M381" s="405"/>
      <c r="N381" s="405"/>
    </row>
    <row r="382" spans="3:14" x14ac:dyDescent="0.25">
      <c r="C382" s="405"/>
      <c r="D382" s="405"/>
      <c r="E382" s="405"/>
      <c r="F382" s="405"/>
      <c r="G382" s="405"/>
      <c r="H382" s="405"/>
      <c r="I382" s="405"/>
      <c r="J382" s="405"/>
      <c r="K382" s="405"/>
      <c r="L382" s="405"/>
      <c r="M382" s="405"/>
      <c r="N382" s="405"/>
    </row>
    <row r="383" spans="3:14" x14ac:dyDescent="0.25">
      <c r="C383" s="405"/>
      <c r="D383" s="405"/>
      <c r="E383" s="405"/>
      <c r="F383" s="405"/>
      <c r="G383" s="405"/>
      <c r="H383" s="405"/>
      <c r="I383" s="405"/>
      <c r="J383" s="405"/>
      <c r="K383" s="405"/>
      <c r="L383" s="405"/>
      <c r="M383" s="405"/>
      <c r="N383" s="405"/>
    </row>
    <row r="384" spans="3:14" x14ac:dyDescent="0.25">
      <c r="C384" s="405"/>
      <c r="D384" s="405"/>
      <c r="E384" s="405"/>
      <c r="F384" s="405"/>
      <c r="G384" s="405"/>
      <c r="H384" s="405"/>
      <c r="I384" s="405"/>
      <c r="J384" s="405"/>
      <c r="K384" s="405"/>
      <c r="L384" s="405"/>
      <c r="M384" s="405"/>
      <c r="N384" s="405"/>
    </row>
    <row r="385" spans="3:14" x14ac:dyDescent="0.25">
      <c r="C385" s="405"/>
      <c r="D385" s="405"/>
      <c r="E385" s="405"/>
      <c r="F385" s="405"/>
      <c r="G385" s="405"/>
      <c r="H385" s="405"/>
      <c r="I385" s="405"/>
      <c r="J385" s="405"/>
      <c r="K385" s="405"/>
      <c r="L385" s="405"/>
      <c r="M385" s="405"/>
      <c r="N385" s="405"/>
    </row>
    <row r="386" spans="3:14" x14ac:dyDescent="0.25">
      <c r="C386" s="405"/>
      <c r="D386" s="405"/>
      <c r="E386" s="405"/>
      <c r="F386" s="405"/>
      <c r="G386" s="405"/>
      <c r="H386" s="405"/>
      <c r="I386" s="405"/>
      <c r="J386" s="405"/>
      <c r="K386" s="405"/>
      <c r="L386" s="405"/>
      <c r="M386" s="405"/>
      <c r="N386" s="405"/>
    </row>
    <row r="387" spans="3:14" x14ac:dyDescent="0.25">
      <c r="C387" s="405"/>
      <c r="D387" s="405"/>
      <c r="E387" s="405"/>
      <c r="F387" s="405"/>
      <c r="G387" s="405"/>
      <c r="H387" s="405"/>
      <c r="I387" s="405"/>
      <c r="J387" s="405"/>
      <c r="K387" s="405"/>
      <c r="L387" s="405"/>
      <c r="M387" s="405"/>
      <c r="N387" s="405"/>
    </row>
    <row r="388" spans="3:14" x14ac:dyDescent="0.25">
      <c r="C388" s="405"/>
      <c r="D388" s="405"/>
      <c r="E388" s="405"/>
      <c r="F388" s="405"/>
      <c r="G388" s="405"/>
      <c r="H388" s="405"/>
      <c r="I388" s="405"/>
      <c r="J388" s="405"/>
      <c r="K388" s="405"/>
      <c r="L388" s="405"/>
      <c r="M388" s="405"/>
      <c r="N388" s="405"/>
    </row>
    <row r="389" spans="3:14" x14ac:dyDescent="0.25">
      <c r="C389" s="405"/>
      <c r="D389" s="405"/>
      <c r="E389" s="405"/>
      <c r="F389" s="405"/>
      <c r="G389" s="405"/>
      <c r="H389" s="405"/>
      <c r="I389" s="405"/>
      <c r="J389" s="405"/>
      <c r="K389" s="405"/>
      <c r="L389" s="405"/>
      <c r="M389" s="405"/>
      <c r="N389" s="405"/>
    </row>
    <row r="390" spans="3:14" x14ac:dyDescent="0.25">
      <c r="C390" s="405"/>
      <c r="D390" s="405"/>
      <c r="E390" s="405"/>
      <c r="F390" s="405"/>
      <c r="G390" s="405"/>
      <c r="H390" s="405"/>
      <c r="I390" s="405"/>
      <c r="J390" s="405"/>
      <c r="K390" s="405"/>
      <c r="L390" s="405"/>
      <c r="M390" s="405"/>
      <c r="N390" s="405"/>
    </row>
    <row r="391" spans="3:14" x14ac:dyDescent="0.25">
      <c r="C391" s="405"/>
      <c r="D391" s="405"/>
      <c r="E391" s="405"/>
      <c r="F391" s="405"/>
      <c r="G391" s="405"/>
      <c r="H391" s="405"/>
      <c r="I391" s="405"/>
      <c r="J391" s="405"/>
      <c r="K391" s="405"/>
      <c r="L391" s="405"/>
      <c r="M391" s="405"/>
      <c r="N391" s="405"/>
    </row>
    <row r="392" spans="3:14" x14ac:dyDescent="0.25">
      <c r="C392" s="405"/>
      <c r="D392" s="405"/>
      <c r="E392" s="405"/>
      <c r="F392" s="405"/>
      <c r="G392" s="405"/>
      <c r="H392" s="405"/>
      <c r="I392" s="405"/>
      <c r="J392" s="405"/>
      <c r="K392" s="405"/>
      <c r="L392" s="405"/>
      <c r="M392" s="405"/>
      <c r="N392" s="405"/>
    </row>
    <row r="393" spans="3:14" x14ac:dyDescent="0.25">
      <c r="C393" s="405"/>
      <c r="D393" s="405"/>
      <c r="E393" s="405"/>
      <c r="F393" s="405"/>
      <c r="G393" s="405"/>
      <c r="H393" s="405"/>
      <c r="I393" s="405"/>
      <c r="J393" s="405"/>
      <c r="K393" s="405"/>
      <c r="L393" s="405"/>
      <c r="M393" s="405"/>
      <c r="N393" s="405"/>
    </row>
    <row r="394" spans="3:14" x14ac:dyDescent="0.25">
      <c r="C394" s="405"/>
      <c r="D394" s="405"/>
      <c r="E394" s="405"/>
      <c r="F394" s="405"/>
      <c r="G394" s="405"/>
      <c r="H394" s="405"/>
      <c r="I394" s="405"/>
      <c r="J394" s="405"/>
      <c r="K394" s="405"/>
      <c r="L394" s="405"/>
      <c r="M394" s="405"/>
      <c r="N394" s="405"/>
    </row>
    <row r="395" spans="3:14" x14ac:dyDescent="0.25">
      <c r="C395" s="405"/>
      <c r="D395" s="405"/>
      <c r="E395" s="405"/>
      <c r="F395" s="405"/>
      <c r="G395" s="405"/>
      <c r="H395" s="405"/>
      <c r="I395" s="405"/>
      <c r="J395" s="405"/>
      <c r="K395" s="405"/>
      <c r="L395" s="405"/>
      <c r="M395" s="405"/>
      <c r="N395" s="405"/>
    </row>
    <row r="396" spans="3:14" x14ac:dyDescent="0.25">
      <c r="C396" s="405"/>
      <c r="D396" s="405"/>
      <c r="E396" s="405"/>
      <c r="F396" s="405"/>
      <c r="G396" s="405"/>
      <c r="H396" s="405"/>
      <c r="I396" s="405"/>
      <c r="J396" s="405"/>
      <c r="K396" s="405"/>
      <c r="L396" s="405"/>
      <c r="M396" s="405"/>
      <c r="N396" s="405"/>
    </row>
    <row r="397" spans="3:14" x14ac:dyDescent="0.25">
      <c r="C397" s="405"/>
      <c r="D397" s="405"/>
      <c r="E397" s="405"/>
      <c r="F397" s="405"/>
      <c r="G397" s="405"/>
      <c r="H397" s="405"/>
      <c r="I397" s="405"/>
      <c r="J397" s="405"/>
      <c r="K397" s="405"/>
      <c r="L397" s="405"/>
      <c r="M397" s="405"/>
      <c r="N397" s="405"/>
    </row>
    <row r="398" spans="3:14" x14ac:dyDescent="0.25">
      <c r="C398" s="405"/>
      <c r="D398" s="405"/>
      <c r="E398" s="405"/>
      <c r="F398" s="405"/>
      <c r="G398" s="405"/>
      <c r="H398" s="405"/>
      <c r="I398" s="405"/>
      <c r="J398" s="405"/>
      <c r="K398" s="405"/>
      <c r="L398" s="405"/>
      <c r="M398" s="405"/>
      <c r="N398" s="405"/>
    </row>
    <row r="399" spans="3:14" x14ac:dyDescent="0.25">
      <c r="C399" s="405"/>
      <c r="D399" s="405"/>
      <c r="E399" s="405"/>
      <c r="F399" s="405"/>
      <c r="G399" s="405"/>
      <c r="H399" s="405"/>
      <c r="I399" s="405"/>
      <c r="J399" s="405"/>
      <c r="K399" s="405"/>
      <c r="L399" s="405"/>
      <c r="M399" s="405"/>
      <c r="N399" s="405"/>
    </row>
    <row r="400" spans="3:14" x14ac:dyDescent="0.25">
      <c r="C400" s="405"/>
      <c r="D400" s="405"/>
      <c r="E400" s="405"/>
      <c r="F400" s="405"/>
      <c r="G400" s="405"/>
      <c r="H400" s="405"/>
      <c r="I400" s="405"/>
      <c r="J400" s="405"/>
      <c r="K400" s="405"/>
      <c r="L400" s="405"/>
      <c r="M400" s="405"/>
      <c r="N400" s="405"/>
    </row>
    <row r="401" spans="3:14" x14ac:dyDescent="0.25">
      <c r="C401" s="405"/>
      <c r="D401" s="405"/>
      <c r="E401" s="405"/>
      <c r="F401" s="405"/>
      <c r="G401" s="405"/>
      <c r="H401" s="405"/>
      <c r="I401" s="405"/>
      <c r="J401" s="405"/>
      <c r="K401" s="405"/>
      <c r="L401" s="405"/>
      <c r="M401" s="405"/>
      <c r="N401" s="405"/>
    </row>
    <row r="402" spans="3:14" x14ac:dyDescent="0.25">
      <c r="C402" s="405"/>
      <c r="D402" s="405"/>
      <c r="E402" s="405"/>
      <c r="F402" s="405"/>
      <c r="G402" s="405"/>
      <c r="H402" s="405"/>
      <c r="I402" s="405"/>
      <c r="J402" s="405"/>
      <c r="K402" s="405"/>
      <c r="L402" s="405"/>
      <c r="M402" s="405"/>
      <c r="N402" s="405"/>
    </row>
    <row r="403" spans="3:14" x14ac:dyDescent="0.25">
      <c r="C403" s="405"/>
      <c r="D403" s="405"/>
      <c r="E403" s="405"/>
      <c r="F403" s="405"/>
      <c r="G403" s="405"/>
      <c r="H403" s="405"/>
      <c r="I403" s="405"/>
      <c r="J403" s="405"/>
      <c r="K403" s="405"/>
      <c r="L403" s="405"/>
      <c r="M403" s="405"/>
      <c r="N403" s="405"/>
    </row>
    <row r="404" spans="3:14" x14ac:dyDescent="0.25">
      <c r="C404" s="405"/>
      <c r="D404" s="405"/>
      <c r="E404" s="405"/>
      <c r="F404" s="405"/>
      <c r="G404" s="405"/>
      <c r="H404" s="405"/>
      <c r="I404" s="405"/>
      <c r="J404" s="405"/>
      <c r="K404" s="405"/>
      <c r="L404" s="405"/>
      <c r="M404" s="405"/>
      <c r="N404" s="405"/>
    </row>
    <row r="405" spans="3:14" x14ac:dyDescent="0.25">
      <c r="C405" s="405"/>
      <c r="D405" s="405"/>
      <c r="E405" s="405"/>
      <c r="F405" s="405"/>
      <c r="G405" s="405"/>
      <c r="H405" s="405"/>
      <c r="I405" s="405"/>
      <c r="J405" s="405"/>
      <c r="K405" s="405"/>
      <c r="L405" s="405"/>
      <c r="M405" s="405"/>
      <c r="N405" s="405"/>
    </row>
    <row r="406" spans="3:14" x14ac:dyDescent="0.25">
      <c r="C406" s="405"/>
      <c r="D406" s="405"/>
      <c r="E406" s="405"/>
      <c r="F406" s="405"/>
      <c r="G406" s="405"/>
      <c r="H406" s="405"/>
      <c r="I406" s="405"/>
      <c r="J406" s="405"/>
      <c r="K406" s="405"/>
      <c r="L406" s="405"/>
      <c r="M406" s="405"/>
      <c r="N406" s="405"/>
    </row>
    <row r="407" spans="3:14" x14ac:dyDescent="0.25">
      <c r="C407" s="405"/>
      <c r="D407" s="405"/>
      <c r="E407" s="405"/>
      <c r="F407" s="405"/>
      <c r="G407" s="405"/>
      <c r="H407" s="405"/>
      <c r="I407" s="405"/>
      <c r="J407" s="405"/>
      <c r="K407" s="405"/>
      <c r="L407" s="405"/>
      <c r="M407" s="405"/>
      <c r="N407" s="405"/>
    </row>
    <row r="408" spans="3:14" x14ac:dyDescent="0.25">
      <c r="C408" s="405"/>
      <c r="D408" s="405"/>
      <c r="E408" s="405"/>
      <c r="F408" s="405"/>
      <c r="G408" s="405"/>
      <c r="H408" s="405"/>
      <c r="I408" s="405"/>
      <c r="J408" s="405"/>
      <c r="K408" s="405"/>
      <c r="L408" s="405"/>
      <c r="M408" s="405"/>
      <c r="N408" s="405"/>
    </row>
    <row r="409" spans="3:14" x14ac:dyDescent="0.25">
      <c r="C409" s="405"/>
      <c r="D409" s="405"/>
      <c r="E409" s="405"/>
      <c r="F409" s="405"/>
      <c r="G409" s="405"/>
      <c r="H409" s="405"/>
      <c r="I409" s="405"/>
      <c r="J409" s="405"/>
      <c r="K409" s="405"/>
      <c r="L409" s="405"/>
      <c r="M409" s="405"/>
      <c r="N409" s="405"/>
    </row>
    <row r="410" spans="3:14" x14ac:dyDescent="0.25">
      <c r="C410" s="405"/>
      <c r="D410" s="405"/>
      <c r="E410" s="405"/>
      <c r="F410" s="405"/>
      <c r="G410" s="405"/>
      <c r="H410" s="405"/>
      <c r="I410" s="405"/>
      <c r="J410" s="405"/>
      <c r="K410" s="405"/>
      <c r="L410" s="405"/>
      <c r="M410" s="405"/>
      <c r="N410" s="405"/>
    </row>
    <row r="411" spans="3:14" x14ac:dyDescent="0.25">
      <c r="C411" s="405"/>
      <c r="D411" s="405"/>
      <c r="E411" s="405"/>
      <c r="F411" s="405"/>
      <c r="G411" s="405"/>
      <c r="H411" s="405"/>
      <c r="I411" s="405"/>
      <c r="J411" s="405"/>
      <c r="K411" s="405"/>
      <c r="L411" s="405"/>
      <c r="M411" s="405"/>
      <c r="N411" s="405"/>
    </row>
    <row r="412" spans="3:14" x14ac:dyDescent="0.25">
      <c r="C412" s="405"/>
      <c r="D412" s="405"/>
      <c r="E412" s="405"/>
      <c r="F412" s="405"/>
      <c r="G412" s="405"/>
      <c r="H412" s="405"/>
      <c r="I412" s="405"/>
      <c r="J412" s="405"/>
      <c r="K412" s="405"/>
      <c r="L412" s="405"/>
      <c r="M412" s="405"/>
      <c r="N412" s="405"/>
    </row>
    <row r="413" spans="3:14" x14ac:dyDescent="0.25">
      <c r="C413" s="405"/>
      <c r="D413" s="405"/>
      <c r="E413" s="405"/>
      <c r="F413" s="405"/>
      <c r="G413" s="405"/>
      <c r="H413" s="405"/>
      <c r="I413" s="405"/>
      <c r="J413" s="405"/>
      <c r="K413" s="405"/>
      <c r="L413" s="405"/>
      <c r="M413" s="405"/>
      <c r="N413" s="405"/>
    </row>
    <row r="414" spans="3:14" x14ac:dyDescent="0.25">
      <c r="C414" s="405"/>
      <c r="D414" s="405"/>
      <c r="E414" s="405"/>
      <c r="F414" s="405"/>
      <c r="G414" s="405"/>
      <c r="H414" s="405"/>
      <c r="I414" s="405"/>
      <c r="J414" s="405"/>
      <c r="K414" s="405"/>
      <c r="L414" s="405"/>
      <c r="M414" s="405"/>
      <c r="N414" s="405"/>
    </row>
    <row r="415" spans="3:14" x14ac:dyDescent="0.25">
      <c r="C415" s="405"/>
      <c r="D415" s="405"/>
      <c r="E415" s="405"/>
      <c r="F415" s="405"/>
      <c r="G415" s="405"/>
      <c r="H415" s="405"/>
      <c r="I415" s="405"/>
      <c r="J415" s="405"/>
      <c r="K415" s="405"/>
      <c r="L415" s="405"/>
      <c r="M415" s="405"/>
      <c r="N415" s="405"/>
    </row>
    <row r="416" spans="3:14" x14ac:dyDescent="0.25">
      <c r="C416" s="405"/>
      <c r="D416" s="405"/>
      <c r="E416" s="405"/>
      <c r="F416" s="405"/>
      <c r="G416" s="405"/>
      <c r="H416" s="405"/>
      <c r="I416" s="405"/>
      <c r="J416" s="405"/>
      <c r="K416" s="405"/>
      <c r="L416" s="405"/>
      <c r="M416" s="405"/>
      <c r="N416" s="405"/>
    </row>
    <row r="417" spans="3:14" x14ac:dyDescent="0.25">
      <c r="C417" s="405"/>
      <c r="D417" s="405"/>
      <c r="E417" s="405"/>
      <c r="F417" s="405"/>
      <c r="G417" s="405"/>
      <c r="H417" s="405"/>
      <c r="I417" s="405"/>
      <c r="J417" s="405"/>
      <c r="K417" s="405"/>
      <c r="L417" s="405"/>
      <c r="M417" s="405"/>
      <c r="N417" s="405"/>
    </row>
    <row r="418" spans="3:14" x14ac:dyDescent="0.25">
      <c r="C418" s="405"/>
      <c r="D418" s="405"/>
      <c r="E418" s="405"/>
      <c r="F418" s="405"/>
      <c r="G418" s="405"/>
      <c r="H418" s="405"/>
      <c r="I418" s="405"/>
      <c r="J418" s="405"/>
      <c r="K418" s="405"/>
      <c r="L418" s="405"/>
      <c r="M418" s="405"/>
      <c r="N418" s="405"/>
    </row>
    <row r="419" spans="3:14" x14ac:dyDescent="0.25">
      <c r="C419" s="405"/>
      <c r="D419" s="405"/>
      <c r="E419" s="405"/>
      <c r="F419" s="405"/>
      <c r="G419" s="405"/>
      <c r="H419" s="405"/>
      <c r="I419" s="405"/>
      <c r="J419" s="405"/>
      <c r="K419" s="405"/>
      <c r="L419" s="405"/>
      <c r="M419" s="405"/>
      <c r="N419" s="405"/>
    </row>
    <row r="420" spans="3:14" x14ac:dyDescent="0.25">
      <c r="C420" s="405"/>
      <c r="D420" s="405"/>
      <c r="E420" s="405"/>
      <c r="F420" s="405"/>
      <c r="G420" s="405"/>
      <c r="H420" s="405"/>
      <c r="I420" s="405"/>
      <c r="J420" s="405"/>
      <c r="K420" s="405"/>
      <c r="L420" s="405"/>
      <c r="M420" s="405"/>
      <c r="N420" s="405"/>
    </row>
    <row r="421" spans="3:14" x14ac:dyDescent="0.25">
      <c r="C421" s="405"/>
      <c r="D421" s="405"/>
      <c r="E421" s="405"/>
      <c r="F421" s="405"/>
      <c r="G421" s="405"/>
      <c r="H421" s="405"/>
      <c r="I421" s="405"/>
      <c r="J421" s="405"/>
      <c r="K421" s="405"/>
      <c r="L421" s="405"/>
      <c r="M421" s="405"/>
      <c r="N421" s="405"/>
    </row>
    <row r="422" spans="3:14" x14ac:dyDescent="0.25">
      <c r="C422" s="405"/>
      <c r="D422" s="405"/>
      <c r="E422" s="405"/>
      <c r="F422" s="405"/>
      <c r="G422" s="405"/>
      <c r="H422" s="405"/>
      <c r="I422" s="405"/>
      <c r="J422" s="405"/>
      <c r="K422" s="405"/>
      <c r="L422" s="405"/>
      <c r="M422" s="405"/>
      <c r="N422" s="405"/>
    </row>
    <row r="423" spans="3:14" x14ac:dyDescent="0.25">
      <c r="C423" s="405"/>
      <c r="D423" s="405"/>
      <c r="E423" s="405"/>
      <c r="F423" s="405"/>
      <c r="G423" s="405"/>
      <c r="H423" s="405"/>
      <c r="I423" s="405"/>
      <c r="J423" s="405"/>
      <c r="K423" s="405"/>
      <c r="L423" s="405"/>
      <c r="M423" s="405"/>
      <c r="N423" s="405"/>
    </row>
    <row r="424" spans="3:14" x14ac:dyDescent="0.25">
      <c r="C424" s="405"/>
      <c r="D424" s="405"/>
      <c r="E424" s="405"/>
      <c r="F424" s="405"/>
      <c r="G424" s="405"/>
      <c r="H424" s="405"/>
      <c r="I424" s="405"/>
      <c r="J424" s="405"/>
      <c r="K424" s="405"/>
      <c r="L424" s="405"/>
      <c r="M424" s="405"/>
      <c r="N424" s="405"/>
    </row>
    <row r="425" spans="3:14" x14ac:dyDescent="0.25">
      <c r="C425" s="405"/>
      <c r="D425" s="405"/>
      <c r="E425" s="405"/>
      <c r="F425" s="405"/>
      <c r="G425" s="405"/>
      <c r="H425" s="405"/>
      <c r="I425" s="405"/>
      <c r="J425" s="405"/>
      <c r="K425" s="405"/>
      <c r="L425" s="405"/>
      <c r="M425" s="405"/>
      <c r="N425" s="405"/>
    </row>
    <row r="426" spans="3:14" x14ac:dyDescent="0.25">
      <c r="C426" s="405"/>
      <c r="D426" s="405"/>
      <c r="E426" s="405"/>
      <c r="F426" s="405"/>
      <c r="G426" s="405"/>
      <c r="H426" s="405"/>
      <c r="I426" s="405"/>
      <c r="J426" s="405"/>
      <c r="K426" s="405"/>
      <c r="L426" s="405"/>
      <c r="M426" s="405"/>
      <c r="N426" s="405"/>
    </row>
    <row r="427" spans="3:14" x14ac:dyDescent="0.25">
      <c r="C427" s="405"/>
      <c r="D427" s="405"/>
      <c r="E427" s="405"/>
      <c r="F427" s="405"/>
      <c r="G427" s="405"/>
      <c r="H427" s="405"/>
      <c r="I427" s="405"/>
      <c r="J427" s="405"/>
      <c r="K427" s="405"/>
      <c r="L427" s="405"/>
      <c r="M427" s="405"/>
      <c r="N427" s="405"/>
    </row>
    <row r="428" spans="3:14" x14ac:dyDescent="0.25">
      <c r="C428" s="405"/>
      <c r="D428" s="405"/>
      <c r="E428" s="405"/>
      <c r="F428" s="405"/>
      <c r="G428" s="405"/>
      <c r="H428" s="405"/>
      <c r="I428" s="405"/>
      <c r="J428" s="405"/>
      <c r="K428" s="405"/>
      <c r="L428" s="405"/>
      <c r="M428" s="405"/>
      <c r="N428" s="405"/>
    </row>
    <row r="429" spans="3:14" x14ac:dyDescent="0.25">
      <c r="C429" s="405"/>
      <c r="D429" s="405"/>
      <c r="E429" s="405"/>
      <c r="F429" s="405"/>
      <c r="G429" s="405"/>
      <c r="H429" s="405"/>
      <c r="I429" s="405"/>
      <c r="J429" s="405"/>
      <c r="K429" s="405"/>
      <c r="L429" s="405"/>
      <c r="M429" s="405"/>
      <c r="N429" s="405"/>
    </row>
    <row r="430" spans="3:14" x14ac:dyDescent="0.25">
      <c r="C430" s="405"/>
      <c r="D430" s="405"/>
      <c r="E430" s="405"/>
      <c r="F430" s="405"/>
      <c r="G430" s="405"/>
      <c r="H430" s="405"/>
      <c r="I430" s="405"/>
      <c r="J430" s="405"/>
      <c r="K430" s="405"/>
      <c r="L430" s="405"/>
      <c r="M430" s="405"/>
      <c r="N430" s="405"/>
    </row>
    <row r="431" spans="3:14" x14ac:dyDescent="0.25">
      <c r="C431" s="405"/>
      <c r="D431" s="405"/>
      <c r="E431" s="405"/>
      <c r="F431" s="405"/>
      <c r="G431" s="405"/>
      <c r="H431" s="405"/>
      <c r="I431" s="405"/>
      <c r="J431" s="405"/>
      <c r="K431" s="405"/>
      <c r="L431" s="405"/>
      <c r="M431" s="405"/>
      <c r="N431" s="405"/>
    </row>
    <row r="432" spans="3:14" x14ac:dyDescent="0.25">
      <c r="C432" s="405"/>
      <c r="D432" s="405"/>
      <c r="E432" s="405"/>
      <c r="F432" s="405"/>
      <c r="G432" s="405"/>
      <c r="H432" s="405"/>
      <c r="I432" s="405"/>
      <c r="J432" s="405"/>
      <c r="K432" s="405"/>
      <c r="L432" s="405"/>
      <c r="M432" s="405"/>
      <c r="N432" s="405"/>
    </row>
    <row r="433" spans="3:14" x14ac:dyDescent="0.25">
      <c r="C433" s="405"/>
      <c r="D433" s="405"/>
      <c r="E433" s="405"/>
      <c r="F433" s="405"/>
      <c r="G433" s="405"/>
      <c r="H433" s="405"/>
      <c r="I433" s="405"/>
      <c r="J433" s="405"/>
      <c r="K433" s="405"/>
      <c r="L433" s="405"/>
      <c r="M433" s="405"/>
      <c r="N433" s="405"/>
    </row>
    <row r="434" spans="3:14" x14ac:dyDescent="0.25">
      <c r="C434" s="405"/>
      <c r="D434" s="405"/>
      <c r="E434" s="405"/>
      <c r="F434" s="405"/>
      <c r="G434" s="405"/>
      <c r="H434" s="405"/>
      <c r="I434" s="405"/>
      <c r="J434" s="405"/>
      <c r="K434" s="405"/>
      <c r="L434" s="405"/>
      <c r="M434" s="405"/>
      <c r="N434" s="405"/>
    </row>
    <row r="435" spans="3:14" x14ac:dyDescent="0.25">
      <c r="C435" s="405"/>
      <c r="D435" s="405"/>
      <c r="E435" s="405"/>
      <c r="F435" s="405"/>
      <c r="G435" s="405"/>
      <c r="H435" s="405"/>
      <c r="I435" s="405"/>
      <c r="J435" s="405"/>
      <c r="K435" s="405"/>
      <c r="L435" s="405"/>
      <c r="M435" s="405"/>
      <c r="N435" s="405"/>
    </row>
    <row r="436" spans="3:14" x14ac:dyDescent="0.25">
      <c r="C436" s="405"/>
      <c r="D436" s="405"/>
      <c r="E436" s="405"/>
      <c r="F436" s="405"/>
      <c r="G436" s="405"/>
      <c r="H436" s="405"/>
      <c r="I436" s="405"/>
      <c r="J436" s="405"/>
      <c r="K436" s="405"/>
      <c r="L436" s="405"/>
      <c r="M436" s="405"/>
      <c r="N436" s="405"/>
    </row>
    <row r="437" spans="3:14" x14ac:dyDescent="0.25">
      <c r="C437" s="405"/>
      <c r="D437" s="405"/>
      <c r="E437" s="405"/>
      <c r="F437" s="405"/>
      <c r="G437" s="405"/>
      <c r="H437" s="405"/>
      <c r="I437" s="405"/>
      <c r="J437" s="405"/>
      <c r="K437" s="405"/>
      <c r="L437" s="405"/>
      <c r="M437" s="405"/>
      <c r="N437" s="405"/>
    </row>
    <row r="438" spans="3:14" x14ac:dyDescent="0.25">
      <c r="C438" s="405"/>
      <c r="D438" s="405"/>
      <c r="E438" s="405"/>
      <c r="F438" s="405"/>
      <c r="G438" s="405"/>
      <c r="H438" s="405"/>
      <c r="I438" s="405"/>
      <c r="J438" s="405"/>
      <c r="K438" s="405"/>
      <c r="L438" s="405"/>
      <c r="M438" s="405"/>
      <c r="N438" s="405"/>
    </row>
    <row r="439" spans="3:14" x14ac:dyDescent="0.25">
      <c r="C439" s="405"/>
      <c r="D439" s="405"/>
      <c r="E439" s="405"/>
      <c r="F439" s="405"/>
      <c r="G439" s="405"/>
      <c r="H439" s="405"/>
      <c r="I439" s="405"/>
      <c r="J439" s="405"/>
      <c r="K439" s="405"/>
      <c r="L439" s="405"/>
      <c r="M439" s="405"/>
      <c r="N439" s="405"/>
    </row>
    <row r="440" spans="3:14" x14ac:dyDescent="0.25">
      <c r="C440" s="405"/>
      <c r="D440" s="405"/>
      <c r="E440" s="405"/>
      <c r="F440" s="405"/>
      <c r="G440" s="405"/>
      <c r="H440" s="405"/>
      <c r="I440" s="405"/>
      <c r="J440" s="405"/>
      <c r="K440" s="405"/>
      <c r="L440" s="405"/>
      <c r="M440" s="405"/>
      <c r="N440" s="405"/>
    </row>
    <row r="441" spans="3:14" x14ac:dyDescent="0.25">
      <c r="C441" s="405"/>
      <c r="D441" s="405"/>
      <c r="E441" s="405"/>
      <c r="F441" s="405"/>
      <c r="G441" s="405"/>
      <c r="H441" s="405"/>
      <c r="I441" s="405"/>
      <c r="J441" s="405"/>
      <c r="K441" s="405"/>
      <c r="L441" s="405"/>
      <c r="M441" s="405"/>
      <c r="N441" s="405"/>
    </row>
    <row r="442" spans="3:14" x14ac:dyDescent="0.25">
      <c r="C442" s="405"/>
      <c r="D442" s="405"/>
      <c r="E442" s="405"/>
      <c r="F442" s="405"/>
      <c r="G442" s="405"/>
      <c r="H442" s="405"/>
      <c r="I442" s="405"/>
      <c r="J442" s="405"/>
      <c r="K442" s="405"/>
      <c r="L442" s="405"/>
      <c r="M442" s="405"/>
      <c r="N442" s="405"/>
    </row>
    <row r="443" spans="3:14" x14ac:dyDescent="0.25">
      <c r="C443" s="405"/>
      <c r="D443" s="405"/>
      <c r="E443" s="405"/>
      <c r="F443" s="405"/>
      <c r="G443" s="405"/>
      <c r="H443" s="405"/>
      <c r="I443" s="405"/>
      <c r="J443" s="405"/>
      <c r="K443" s="405"/>
      <c r="L443" s="405"/>
      <c r="M443" s="405"/>
      <c r="N443" s="405"/>
    </row>
    <row r="444" spans="3:14" x14ac:dyDescent="0.25">
      <c r="C444" s="405"/>
      <c r="D444" s="405"/>
      <c r="E444" s="405"/>
      <c r="F444" s="405"/>
      <c r="G444" s="405"/>
      <c r="H444" s="405"/>
      <c r="I444" s="405"/>
      <c r="J444" s="405"/>
      <c r="K444" s="405"/>
      <c r="L444" s="405"/>
      <c r="M444" s="405"/>
      <c r="N444" s="405"/>
    </row>
    <row r="445" spans="3:14" x14ac:dyDescent="0.25">
      <c r="C445" s="405"/>
      <c r="D445" s="405"/>
      <c r="E445" s="405"/>
      <c r="F445" s="405"/>
      <c r="G445" s="405"/>
      <c r="H445" s="405"/>
      <c r="I445" s="405"/>
      <c r="J445" s="405"/>
      <c r="K445" s="405"/>
      <c r="L445" s="405"/>
      <c r="M445" s="405"/>
      <c r="N445" s="405"/>
    </row>
    <row r="446" spans="3:14" x14ac:dyDescent="0.25">
      <c r="C446" s="405"/>
      <c r="D446" s="405"/>
      <c r="E446" s="405"/>
      <c r="F446" s="405"/>
      <c r="G446" s="405"/>
      <c r="H446" s="405"/>
      <c r="I446" s="405"/>
      <c r="J446" s="405"/>
      <c r="K446" s="405"/>
      <c r="L446" s="405"/>
      <c r="M446" s="405"/>
      <c r="N446" s="405"/>
    </row>
    <row r="447" spans="3:14" x14ac:dyDescent="0.25">
      <c r="C447" s="405"/>
      <c r="D447" s="405"/>
      <c r="E447" s="405"/>
      <c r="F447" s="405"/>
      <c r="G447" s="405"/>
      <c r="H447" s="405"/>
      <c r="I447" s="405"/>
      <c r="J447" s="405"/>
      <c r="K447" s="405"/>
      <c r="L447" s="405"/>
      <c r="M447" s="405"/>
      <c r="N447" s="405"/>
    </row>
    <row r="448" spans="3:14" x14ac:dyDescent="0.25">
      <c r="C448" s="405"/>
      <c r="D448" s="405"/>
      <c r="E448" s="405"/>
      <c r="F448" s="405"/>
      <c r="G448" s="405"/>
      <c r="H448" s="405"/>
      <c r="I448" s="405"/>
      <c r="J448" s="405"/>
      <c r="K448" s="405"/>
      <c r="L448" s="405"/>
      <c r="M448" s="405"/>
      <c r="N448" s="405"/>
    </row>
    <row r="449" spans="3:14" x14ac:dyDescent="0.25">
      <c r="C449" s="405"/>
      <c r="D449" s="405"/>
      <c r="E449" s="405"/>
      <c r="F449" s="405"/>
      <c r="G449" s="405"/>
      <c r="H449" s="405"/>
      <c r="I449" s="405"/>
      <c r="J449" s="405"/>
      <c r="K449" s="405"/>
      <c r="L449" s="405"/>
      <c r="M449" s="405"/>
      <c r="N449" s="405"/>
    </row>
    <row r="450" spans="3:14" x14ac:dyDescent="0.25">
      <c r="C450" s="405"/>
      <c r="D450" s="405"/>
      <c r="E450" s="405"/>
      <c r="F450" s="405"/>
      <c r="G450" s="405"/>
      <c r="H450" s="405"/>
      <c r="I450" s="405"/>
      <c r="J450" s="405"/>
      <c r="K450" s="405"/>
      <c r="L450" s="405"/>
      <c r="M450" s="405"/>
      <c r="N450" s="405"/>
    </row>
    <row r="451" spans="3:14" x14ac:dyDescent="0.25">
      <c r="C451" s="405"/>
      <c r="D451" s="405"/>
      <c r="E451" s="405"/>
      <c r="F451" s="405"/>
      <c r="G451" s="405"/>
      <c r="H451" s="405"/>
      <c r="I451" s="405"/>
      <c r="J451" s="405"/>
      <c r="K451" s="405"/>
      <c r="L451" s="405"/>
      <c r="M451" s="405"/>
      <c r="N451" s="405"/>
    </row>
    <row r="452" spans="3:14" x14ac:dyDescent="0.25">
      <c r="C452" s="405"/>
      <c r="D452" s="405"/>
      <c r="E452" s="405"/>
      <c r="F452" s="405"/>
      <c r="G452" s="405"/>
      <c r="H452" s="405"/>
      <c r="I452" s="405"/>
      <c r="J452" s="405"/>
      <c r="K452" s="405"/>
      <c r="L452" s="405"/>
      <c r="M452" s="405"/>
      <c r="N452" s="405"/>
    </row>
    <row r="453" spans="3:14" x14ac:dyDescent="0.25">
      <c r="C453" s="405"/>
      <c r="D453" s="405"/>
      <c r="E453" s="405"/>
      <c r="F453" s="405"/>
      <c r="G453" s="405"/>
      <c r="H453" s="405"/>
      <c r="I453" s="405"/>
      <c r="J453" s="405"/>
      <c r="K453" s="405"/>
      <c r="L453" s="405"/>
      <c r="M453" s="405"/>
      <c r="N453" s="405"/>
    </row>
    <row r="454" spans="3:14" x14ac:dyDescent="0.25">
      <c r="C454" s="405"/>
      <c r="D454" s="405"/>
      <c r="E454" s="405"/>
      <c r="F454" s="405"/>
      <c r="G454" s="405"/>
      <c r="H454" s="405"/>
      <c r="I454" s="405"/>
      <c r="J454" s="405"/>
      <c r="K454" s="405"/>
      <c r="L454" s="405"/>
      <c r="M454" s="405"/>
      <c r="N454" s="405"/>
    </row>
    <row r="455" spans="3:14" x14ac:dyDescent="0.25">
      <c r="C455" s="405"/>
      <c r="D455" s="405"/>
      <c r="E455" s="405"/>
      <c r="F455" s="405"/>
      <c r="G455" s="405"/>
      <c r="H455" s="405"/>
      <c r="I455" s="405"/>
      <c r="J455" s="405"/>
      <c r="K455" s="405"/>
      <c r="L455" s="405"/>
      <c r="M455" s="405"/>
      <c r="N455" s="405"/>
    </row>
    <row r="456" spans="3:14" x14ac:dyDescent="0.25">
      <c r="C456" s="405"/>
      <c r="D456" s="405"/>
      <c r="E456" s="405"/>
      <c r="F456" s="405"/>
      <c r="G456" s="405"/>
      <c r="H456" s="405"/>
      <c r="I456" s="405"/>
      <c r="J456" s="405"/>
      <c r="K456" s="405"/>
      <c r="L456" s="405"/>
      <c r="M456" s="405"/>
      <c r="N456" s="405"/>
    </row>
    <row r="457" spans="3:14" x14ac:dyDescent="0.25">
      <c r="C457" s="405"/>
      <c r="D457" s="405"/>
      <c r="E457" s="405"/>
      <c r="F457" s="405"/>
      <c r="G457" s="405"/>
      <c r="H457" s="405"/>
      <c r="I457" s="405"/>
      <c r="J457" s="405"/>
      <c r="K457" s="405"/>
      <c r="L457" s="405"/>
      <c r="M457" s="405"/>
      <c r="N457" s="405"/>
    </row>
    <row r="458" spans="3:14" x14ac:dyDescent="0.25">
      <c r="C458" s="405"/>
      <c r="D458" s="405"/>
      <c r="E458" s="405"/>
      <c r="F458" s="405"/>
      <c r="G458" s="405"/>
      <c r="H458" s="405"/>
      <c r="I458" s="405"/>
      <c r="J458" s="405"/>
      <c r="K458" s="405"/>
      <c r="L458" s="405"/>
      <c r="M458" s="405"/>
      <c r="N458" s="405"/>
    </row>
    <row r="459" spans="3:14" x14ac:dyDescent="0.25">
      <c r="C459" s="405"/>
      <c r="D459" s="405"/>
      <c r="E459" s="405"/>
      <c r="F459" s="405"/>
      <c r="G459" s="405"/>
      <c r="H459" s="405"/>
      <c r="I459" s="405"/>
      <c r="J459" s="405"/>
      <c r="K459" s="405"/>
      <c r="L459" s="405"/>
      <c r="M459" s="405"/>
      <c r="N459" s="405"/>
    </row>
    <row r="460" spans="3:14" x14ac:dyDescent="0.25">
      <c r="C460" s="405"/>
      <c r="D460" s="405"/>
      <c r="E460" s="405"/>
      <c r="F460" s="405"/>
      <c r="G460" s="405"/>
      <c r="H460" s="405"/>
      <c r="I460" s="405"/>
      <c r="J460" s="405"/>
      <c r="K460" s="405"/>
      <c r="L460" s="405"/>
      <c r="M460" s="405"/>
      <c r="N460" s="405"/>
    </row>
    <row r="461" spans="3:14" x14ac:dyDescent="0.25">
      <c r="C461" s="405"/>
      <c r="D461" s="405"/>
      <c r="E461" s="405"/>
      <c r="F461" s="405"/>
      <c r="G461" s="405"/>
      <c r="H461" s="405"/>
      <c r="I461" s="405"/>
      <c r="J461" s="405"/>
      <c r="K461" s="405"/>
      <c r="L461" s="405"/>
      <c r="M461" s="405"/>
      <c r="N461" s="405"/>
    </row>
    <row r="462" spans="3:14" x14ac:dyDescent="0.25">
      <c r="C462" s="405"/>
      <c r="D462" s="405"/>
      <c r="E462" s="405"/>
      <c r="F462" s="405"/>
      <c r="G462" s="405"/>
      <c r="H462" s="405"/>
      <c r="I462" s="405"/>
      <c r="J462" s="405"/>
      <c r="K462" s="405"/>
      <c r="L462" s="405"/>
      <c r="M462" s="405"/>
      <c r="N462" s="405"/>
    </row>
    <row r="463" spans="3:14" x14ac:dyDescent="0.25">
      <c r="C463" s="405"/>
      <c r="D463" s="405"/>
      <c r="E463" s="405"/>
      <c r="F463" s="405"/>
      <c r="G463" s="405"/>
      <c r="H463" s="405"/>
      <c r="I463" s="405"/>
      <c r="J463" s="405"/>
      <c r="K463" s="405"/>
      <c r="L463" s="405"/>
      <c r="M463" s="405"/>
      <c r="N463" s="405"/>
    </row>
    <row r="464" spans="3:14" x14ac:dyDescent="0.25">
      <c r="C464" s="405"/>
      <c r="D464" s="405"/>
      <c r="E464" s="405"/>
      <c r="F464" s="405"/>
      <c r="G464" s="405"/>
      <c r="H464" s="405"/>
      <c r="I464" s="405"/>
      <c r="J464" s="405"/>
      <c r="K464" s="405"/>
      <c r="L464" s="405"/>
      <c r="M464" s="405"/>
      <c r="N464" s="405"/>
    </row>
    <row r="465" spans="3:14" x14ac:dyDescent="0.25">
      <c r="C465" s="405"/>
      <c r="D465" s="405"/>
      <c r="E465" s="405"/>
      <c r="F465" s="405"/>
      <c r="G465" s="405"/>
      <c r="H465" s="405"/>
      <c r="I465" s="405"/>
      <c r="J465" s="405"/>
      <c r="K465" s="405"/>
      <c r="L465" s="405"/>
      <c r="M465" s="405"/>
      <c r="N465" s="405"/>
    </row>
    <row r="466" spans="3:14" x14ac:dyDescent="0.25">
      <c r="C466" s="405"/>
      <c r="D466" s="405"/>
      <c r="E466" s="405"/>
      <c r="F466" s="405"/>
      <c r="G466" s="405"/>
      <c r="H466" s="405"/>
      <c r="I466" s="405"/>
      <c r="J466" s="405"/>
      <c r="K466" s="405"/>
      <c r="L466" s="405"/>
      <c r="M466" s="405"/>
      <c r="N466" s="405"/>
    </row>
    <row r="467" spans="3:14" x14ac:dyDescent="0.25">
      <c r="C467" s="405"/>
      <c r="D467" s="405"/>
      <c r="E467" s="405"/>
      <c r="F467" s="405"/>
      <c r="G467" s="405"/>
      <c r="H467" s="405"/>
      <c r="I467" s="405"/>
      <c r="J467" s="405"/>
      <c r="K467" s="405"/>
      <c r="L467" s="405"/>
      <c r="M467" s="405"/>
      <c r="N467" s="405"/>
    </row>
    <row r="468" spans="3:14" x14ac:dyDescent="0.25">
      <c r="C468" s="405"/>
      <c r="D468" s="405"/>
      <c r="E468" s="405"/>
      <c r="F468" s="405"/>
      <c r="G468" s="405"/>
      <c r="H468" s="405"/>
      <c r="I468" s="405"/>
      <c r="J468" s="405"/>
      <c r="K468" s="405"/>
      <c r="L468" s="405"/>
      <c r="M468" s="405"/>
      <c r="N468" s="405"/>
    </row>
    <row r="469" spans="3:14" x14ac:dyDescent="0.25">
      <c r="C469" s="405"/>
      <c r="D469" s="405"/>
      <c r="E469" s="405"/>
      <c r="F469" s="405"/>
      <c r="G469" s="405"/>
      <c r="H469" s="405"/>
      <c r="I469" s="405"/>
      <c r="J469" s="405"/>
      <c r="K469" s="405"/>
      <c r="L469" s="405"/>
      <c r="M469" s="405"/>
      <c r="N469" s="405"/>
    </row>
    <row r="470" spans="3:14" x14ac:dyDescent="0.25">
      <c r="C470" s="405"/>
      <c r="D470" s="405"/>
      <c r="E470" s="405"/>
      <c r="F470" s="405"/>
      <c r="G470" s="405"/>
      <c r="H470" s="405"/>
      <c r="I470" s="405"/>
      <c r="J470" s="405"/>
      <c r="K470" s="405"/>
      <c r="L470" s="405"/>
      <c r="M470" s="405"/>
      <c r="N470" s="405"/>
    </row>
    <row r="471" spans="3:14" x14ac:dyDescent="0.25">
      <c r="C471" s="405"/>
      <c r="D471" s="405"/>
      <c r="E471" s="405"/>
      <c r="F471" s="405"/>
      <c r="G471" s="405"/>
      <c r="H471" s="405"/>
      <c r="I471" s="405"/>
      <c r="J471" s="405"/>
      <c r="K471" s="405"/>
      <c r="L471" s="405"/>
      <c r="M471" s="405"/>
      <c r="N471" s="405"/>
    </row>
    <row r="472" spans="3:14" x14ac:dyDescent="0.25">
      <c r="C472" s="405"/>
      <c r="D472" s="405"/>
      <c r="E472" s="405"/>
      <c r="F472" s="405"/>
      <c r="G472" s="405"/>
      <c r="H472" s="405"/>
      <c r="I472" s="405"/>
      <c r="J472" s="405"/>
      <c r="K472" s="405"/>
      <c r="L472" s="405"/>
      <c r="M472" s="405"/>
      <c r="N472" s="405"/>
    </row>
    <row r="473" spans="3:14" x14ac:dyDescent="0.25">
      <c r="C473" s="405"/>
      <c r="D473" s="405"/>
      <c r="E473" s="405"/>
      <c r="F473" s="405"/>
      <c r="G473" s="405"/>
      <c r="H473" s="405"/>
      <c r="I473" s="405"/>
      <c r="J473" s="405"/>
      <c r="K473" s="405"/>
      <c r="L473" s="405"/>
      <c r="M473" s="405"/>
      <c r="N473" s="405"/>
    </row>
    <row r="474" spans="3:14" x14ac:dyDescent="0.25">
      <c r="C474" s="405"/>
      <c r="D474" s="405"/>
      <c r="E474" s="405"/>
      <c r="F474" s="405"/>
      <c r="G474" s="405"/>
      <c r="H474" s="405"/>
      <c r="I474" s="405"/>
      <c r="J474" s="405"/>
      <c r="K474" s="405"/>
      <c r="L474" s="405"/>
      <c r="M474" s="405"/>
      <c r="N474" s="405"/>
    </row>
    <row r="475" spans="3:14" x14ac:dyDescent="0.25">
      <c r="C475" s="405"/>
      <c r="D475" s="405"/>
      <c r="E475" s="405"/>
      <c r="F475" s="405"/>
      <c r="G475" s="405"/>
      <c r="H475" s="405"/>
      <c r="I475" s="405"/>
      <c r="J475" s="405"/>
      <c r="K475" s="405"/>
      <c r="L475" s="405"/>
      <c r="M475" s="405"/>
      <c r="N475" s="405"/>
    </row>
    <row r="476" spans="3:14" x14ac:dyDescent="0.25">
      <c r="C476" s="405"/>
      <c r="D476" s="405"/>
      <c r="E476" s="405"/>
      <c r="F476" s="405"/>
      <c r="G476" s="405"/>
      <c r="H476" s="405"/>
      <c r="I476" s="405"/>
      <c r="J476" s="405"/>
      <c r="K476" s="405"/>
      <c r="L476" s="405"/>
      <c r="M476" s="405"/>
      <c r="N476" s="405"/>
    </row>
    <row r="477" spans="3:14" x14ac:dyDescent="0.25">
      <c r="C477" s="405"/>
      <c r="D477" s="405"/>
      <c r="E477" s="405"/>
      <c r="F477" s="405"/>
      <c r="G477" s="405"/>
      <c r="H477" s="405"/>
      <c r="I477" s="405"/>
      <c r="J477" s="405"/>
      <c r="K477" s="405"/>
      <c r="L477" s="405"/>
      <c r="M477" s="405"/>
      <c r="N477" s="405"/>
    </row>
    <row r="478" spans="3:14" x14ac:dyDescent="0.25">
      <c r="C478" s="405"/>
      <c r="D478" s="405"/>
      <c r="E478" s="405"/>
      <c r="F478" s="405"/>
      <c r="G478" s="405"/>
      <c r="H478" s="405"/>
      <c r="I478" s="405"/>
      <c r="J478" s="405"/>
      <c r="K478" s="405"/>
      <c r="L478" s="405"/>
      <c r="M478" s="405"/>
      <c r="N478" s="405"/>
    </row>
    <row r="479" spans="3:14" x14ac:dyDescent="0.25">
      <c r="C479" s="405"/>
      <c r="D479" s="405"/>
      <c r="E479" s="405"/>
      <c r="F479" s="405"/>
      <c r="G479" s="405"/>
      <c r="H479" s="405"/>
      <c r="I479" s="405"/>
      <c r="J479" s="405"/>
      <c r="K479" s="405"/>
      <c r="L479" s="405"/>
      <c r="M479" s="405"/>
      <c r="N479" s="405"/>
    </row>
    <row r="480" spans="3:14" x14ac:dyDescent="0.25">
      <c r="C480" s="405"/>
      <c r="D480" s="405"/>
      <c r="E480" s="405"/>
      <c r="F480" s="405"/>
      <c r="G480" s="405"/>
      <c r="H480" s="405"/>
      <c r="I480" s="405"/>
      <c r="J480" s="405"/>
      <c r="K480" s="405"/>
      <c r="L480" s="405"/>
      <c r="M480" s="405"/>
      <c r="N480" s="405"/>
    </row>
    <row r="481" spans="3:14" x14ac:dyDescent="0.25">
      <c r="C481" s="405"/>
      <c r="D481" s="405"/>
      <c r="E481" s="405"/>
      <c r="F481" s="405"/>
      <c r="G481" s="405"/>
      <c r="H481" s="405"/>
      <c r="I481" s="405"/>
      <c r="J481" s="405"/>
      <c r="K481" s="405"/>
      <c r="L481" s="405"/>
      <c r="M481" s="405"/>
      <c r="N481" s="405"/>
    </row>
    <row r="482" spans="3:14" x14ac:dyDescent="0.25">
      <c r="C482" s="405"/>
      <c r="D482" s="405"/>
      <c r="E482" s="405"/>
      <c r="F482" s="405"/>
      <c r="G482" s="405"/>
      <c r="H482" s="405"/>
      <c r="I482" s="405"/>
      <c r="J482" s="405"/>
      <c r="K482" s="405"/>
      <c r="L482" s="405"/>
      <c r="M482" s="405"/>
      <c r="N482" s="405"/>
    </row>
    <row r="483" spans="3:14" x14ac:dyDescent="0.25">
      <c r="C483" s="405"/>
      <c r="D483" s="405"/>
      <c r="E483" s="405"/>
      <c r="F483" s="405"/>
      <c r="G483" s="405"/>
      <c r="H483" s="405"/>
      <c r="I483" s="405"/>
      <c r="J483" s="405"/>
      <c r="K483" s="405"/>
      <c r="L483" s="405"/>
      <c r="M483" s="405"/>
      <c r="N483" s="405"/>
    </row>
    <row r="484" spans="3:14" x14ac:dyDescent="0.25">
      <c r="C484" s="405"/>
      <c r="D484" s="405"/>
      <c r="E484" s="405"/>
      <c r="F484" s="405"/>
      <c r="G484" s="405"/>
      <c r="H484" s="405"/>
      <c r="I484" s="405"/>
      <c r="J484" s="405"/>
      <c r="K484" s="405"/>
      <c r="L484" s="405"/>
      <c r="M484" s="405"/>
      <c r="N484" s="405"/>
    </row>
    <row r="485" spans="3:14" x14ac:dyDescent="0.25">
      <c r="C485" s="405"/>
      <c r="D485" s="405"/>
      <c r="E485" s="405"/>
      <c r="F485" s="405"/>
      <c r="G485" s="405"/>
      <c r="H485" s="405"/>
      <c r="I485" s="405"/>
      <c r="J485" s="405"/>
      <c r="K485" s="405"/>
      <c r="L485" s="405"/>
      <c r="M485" s="405"/>
      <c r="N485" s="405"/>
    </row>
    <row r="486" spans="3:14" x14ac:dyDescent="0.25">
      <c r="C486" s="405"/>
      <c r="D486" s="405"/>
      <c r="E486" s="405"/>
      <c r="F486" s="405"/>
      <c r="G486" s="405"/>
      <c r="H486" s="405"/>
      <c r="I486" s="405"/>
      <c r="J486" s="405"/>
      <c r="K486" s="405"/>
      <c r="L486" s="405"/>
      <c r="M486" s="405"/>
      <c r="N486" s="405"/>
    </row>
    <row r="487" spans="3:14" x14ac:dyDescent="0.25">
      <c r="C487" s="405"/>
      <c r="D487" s="405"/>
      <c r="E487" s="405"/>
      <c r="F487" s="405"/>
      <c r="G487" s="405"/>
      <c r="H487" s="405"/>
      <c r="I487" s="405"/>
      <c r="J487" s="405"/>
      <c r="K487" s="405"/>
      <c r="L487" s="405"/>
      <c r="M487" s="405"/>
      <c r="N487" s="405"/>
    </row>
    <row r="488" spans="3:14" x14ac:dyDescent="0.25">
      <c r="C488" s="405"/>
      <c r="D488" s="405"/>
      <c r="E488" s="405"/>
      <c r="F488" s="405"/>
      <c r="G488" s="405"/>
      <c r="H488" s="405"/>
      <c r="I488" s="405"/>
      <c r="J488" s="405"/>
      <c r="K488" s="405"/>
      <c r="L488" s="405"/>
      <c r="M488" s="405"/>
      <c r="N488" s="405"/>
    </row>
    <row r="489" spans="3:14" x14ac:dyDescent="0.25">
      <c r="C489" s="405"/>
      <c r="D489" s="405"/>
      <c r="E489" s="405"/>
      <c r="F489" s="405"/>
      <c r="G489" s="405"/>
      <c r="H489" s="405"/>
      <c r="I489" s="405"/>
      <c r="J489" s="405"/>
      <c r="K489" s="405"/>
      <c r="L489" s="405"/>
      <c r="M489" s="405"/>
      <c r="N489" s="405"/>
    </row>
    <row r="490" spans="3:14" x14ac:dyDescent="0.25">
      <c r="C490" s="405"/>
      <c r="D490" s="405"/>
      <c r="E490" s="405"/>
      <c r="F490" s="405"/>
      <c r="G490" s="405"/>
      <c r="H490" s="405"/>
      <c r="I490" s="405"/>
      <c r="J490" s="405"/>
      <c r="K490" s="405"/>
      <c r="L490" s="405"/>
      <c r="M490" s="405"/>
      <c r="N490" s="405"/>
    </row>
    <row r="491" spans="3:14" x14ac:dyDescent="0.25">
      <c r="C491" s="405"/>
      <c r="D491" s="405"/>
      <c r="E491" s="405"/>
      <c r="F491" s="405"/>
      <c r="G491" s="405"/>
      <c r="H491" s="405"/>
      <c r="I491" s="405"/>
      <c r="J491" s="405"/>
      <c r="K491" s="405"/>
      <c r="L491" s="405"/>
      <c r="M491" s="405"/>
      <c r="N491" s="405"/>
    </row>
    <row r="492" spans="3:14" x14ac:dyDescent="0.25">
      <c r="C492" s="405"/>
      <c r="D492" s="405"/>
      <c r="E492" s="405"/>
      <c r="F492" s="405"/>
      <c r="G492" s="405"/>
      <c r="H492" s="405"/>
      <c r="I492" s="405"/>
      <c r="J492" s="405"/>
      <c r="K492" s="405"/>
      <c r="L492" s="405"/>
      <c r="M492" s="405"/>
      <c r="N492" s="405"/>
    </row>
    <row r="493" spans="3:14" x14ac:dyDescent="0.25">
      <c r="C493" s="405"/>
      <c r="D493" s="405"/>
      <c r="E493" s="405"/>
      <c r="F493" s="405"/>
      <c r="G493" s="405"/>
      <c r="H493" s="405"/>
      <c r="I493" s="405"/>
      <c r="J493" s="405"/>
      <c r="K493" s="405"/>
      <c r="L493" s="405"/>
      <c r="M493" s="405"/>
      <c r="N493" s="405"/>
    </row>
    <row r="494" spans="3:14" x14ac:dyDescent="0.25">
      <c r="C494" s="405"/>
      <c r="D494" s="405"/>
      <c r="E494" s="405"/>
      <c r="F494" s="405"/>
      <c r="G494" s="405"/>
      <c r="H494" s="405"/>
      <c r="I494" s="405"/>
      <c r="J494" s="405"/>
      <c r="K494" s="405"/>
      <c r="L494" s="405"/>
      <c r="M494" s="405"/>
      <c r="N494" s="405"/>
    </row>
    <row r="495" spans="3:14" x14ac:dyDescent="0.25">
      <c r="C495" s="405"/>
      <c r="D495" s="405"/>
      <c r="E495" s="405"/>
      <c r="F495" s="405"/>
      <c r="G495" s="405"/>
      <c r="H495" s="405"/>
      <c r="I495" s="405"/>
      <c r="J495" s="405"/>
      <c r="K495" s="405"/>
      <c r="L495" s="405"/>
      <c r="M495" s="405"/>
      <c r="N495" s="405"/>
    </row>
    <row r="496" spans="3:14" x14ac:dyDescent="0.25">
      <c r="C496" s="405"/>
      <c r="D496" s="405"/>
      <c r="E496" s="405"/>
      <c r="F496" s="405"/>
      <c r="G496" s="405"/>
      <c r="H496" s="405"/>
      <c r="I496" s="405"/>
      <c r="J496" s="405"/>
      <c r="K496" s="405"/>
      <c r="L496" s="405"/>
      <c r="M496" s="405"/>
      <c r="N496" s="405"/>
    </row>
    <row r="497" spans="3:14" x14ac:dyDescent="0.25">
      <c r="C497" s="405"/>
      <c r="D497" s="405"/>
      <c r="E497" s="405"/>
      <c r="F497" s="405"/>
      <c r="G497" s="405"/>
      <c r="H497" s="405"/>
      <c r="I497" s="405"/>
      <c r="J497" s="405"/>
      <c r="K497" s="405"/>
      <c r="L497" s="405"/>
      <c r="M497" s="405"/>
      <c r="N497" s="405"/>
    </row>
    <row r="498" spans="3:14" x14ac:dyDescent="0.25">
      <c r="C498" s="405"/>
      <c r="D498" s="405"/>
      <c r="E498" s="405"/>
      <c r="F498" s="405"/>
      <c r="G498" s="405"/>
      <c r="H498" s="405"/>
      <c r="I498" s="405"/>
      <c r="J498" s="405"/>
      <c r="K498" s="405"/>
      <c r="L498" s="405"/>
      <c r="M498" s="405"/>
      <c r="N498" s="405"/>
    </row>
    <row r="499" spans="3:14" x14ac:dyDescent="0.25">
      <c r="C499" s="405"/>
      <c r="D499" s="405"/>
      <c r="E499" s="405"/>
      <c r="F499" s="405"/>
      <c r="G499" s="405"/>
      <c r="H499" s="405"/>
      <c r="I499" s="405"/>
      <c r="J499" s="405"/>
      <c r="K499" s="405"/>
      <c r="L499" s="405"/>
      <c r="M499" s="405"/>
      <c r="N499" s="405"/>
    </row>
    <row r="500" spans="3:14" x14ac:dyDescent="0.25">
      <c r="C500" s="405"/>
      <c r="D500" s="405"/>
      <c r="E500" s="405"/>
      <c r="F500" s="405"/>
      <c r="G500" s="405"/>
      <c r="H500" s="405"/>
      <c r="I500" s="405"/>
      <c r="J500" s="405"/>
      <c r="K500" s="405"/>
      <c r="L500" s="405"/>
      <c r="M500" s="405"/>
      <c r="N500" s="405"/>
    </row>
    <row r="501" spans="3:14" x14ac:dyDescent="0.25">
      <c r="C501" s="405"/>
      <c r="D501" s="405"/>
      <c r="E501" s="405"/>
      <c r="F501" s="405"/>
      <c r="G501" s="405"/>
      <c r="H501" s="405"/>
      <c r="I501" s="405"/>
      <c r="J501" s="405"/>
      <c r="K501" s="405"/>
      <c r="L501" s="405"/>
      <c r="M501" s="405"/>
      <c r="N501" s="405"/>
    </row>
    <row r="502" spans="3:14" x14ac:dyDescent="0.25">
      <c r="C502" s="405"/>
      <c r="D502" s="405"/>
      <c r="E502" s="405"/>
      <c r="F502" s="405"/>
      <c r="G502" s="405"/>
      <c r="H502" s="405"/>
      <c r="I502" s="405"/>
      <c r="J502" s="405"/>
      <c r="K502" s="405"/>
      <c r="L502" s="405"/>
      <c r="M502" s="405"/>
      <c r="N502" s="405"/>
    </row>
    <row r="503" spans="3:14" x14ac:dyDescent="0.25">
      <c r="C503" s="405"/>
      <c r="D503" s="405"/>
      <c r="E503" s="405"/>
      <c r="F503" s="405"/>
      <c r="G503" s="405"/>
      <c r="H503" s="405"/>
      <c r="I503" s="405"/>
      <c r="J503" s="405"/>
      <c r="K503" s="405"/>
      <c r="L503" s="405"/>
      <c r="M503" s="405"/>
      <c r="N503" s="405"/>
    </row>
    <row r="504" spans="3:14" x14ac:dyDescent="0.25">
      <c r="C504" s="405"/>
      <c r="D504" s="405"/>
      <c r="E504" s="405"/>
      <c r="F504" s="405"/>
      <c r="G504" s="405"/>
      <c r="H504" s="405"/>
      <c r="I504" s="405"/>
      <c r="J504" s="405"/>
      <c r="K504" s="405"/>
      <c r="L504" s="405"/>
      <c r="M504" s="405"/>
      <c r="N504" s="405"/>
    </row>
    <row r="505" spans="3:14" x14ac:dyDescent="0.25">
      <c r="C505" s="405"/>
      <c r="D505" s="405"/>
      <c r="E505" s="405"/>
      <c r="F505" s="405"/>
      <c r="G505" s="405"/>
      <c r="H505" s="405"/>
      <c r="I505" s="405"/>
      <c r="J505" s="405"/>
      <c r="K505" s="405"/>
      <c r="L505" s="405"/>
      <c r="M505" s="405"/>
      <c r="N505" s="405"/>
    </row>
    <row r="506" spans="3:14" x14ac:dyDescent="0.25">
      <c r="C506" s="405"/>
      <c r="D506" s="405"/>
      <c r="E506" s="405"/>
      <c r="F506" s="405"/>
      <c r="G506" s="405"/>
      <c r="H506" s="405"/>
      <c r="I506" s="405"/>
      <c r="J506" s="405"/>
      <c r="K506" s="405"/>
      <c r="L506" s="405"/>
      <c r="M506" s="405"/>
      <c r="N506" s="405"/>
    </row>
    <row r="507" spans="3:14" x14ac:dyDescent="0.25">
      <c r="C507" s="405"/>
      <c r="D507" s="405"/>
      <c r="E507" s="405"/>
      <c r="F507" s="405"/>
      <c r="G507" s="405"/>
      <c r="H507" s="405"/>
      <c r="I507" s="405"/>
      <c r="J507" s="405"/>
      <c r="K507" s="405"/>
      <c r="L507" s="405"/>
      <c r="M507" s="405"/>
      <c r="N507" s="405"/>
    </row>
    <row r="508" spans="3:14" x14ac:dyDescent="0.25">
      <c r="C508" s="405"/>
      <c r="D508" s="405"/>
      <c r="E508" s="405"/>
      <c r="F508" s="405"/>
      <c r="G508" s="405"/>
      <c r="H508" s="405"/>
      <c r="I508" s="405"/>
      <c r="J508" s="405"/>
      <c r="K508" s="405"/>
      <c r="L508" s="405"/>
      <c r="M508" s="405"/>
      <c r="N508" s="405"/>
    </row>
    <row r="509" spans="3:14" x14ac:dyDescent="0.25">
      <c r="C509" s="405"/>
      <c r="D509" s="405"/>
      <c r="E509" s="405"/>
      <c r="F509" s="405"/>
      <c r="G509" s="405"/>
      <c r="H509" s="405"/>
      <c r="I509" s="405"/>
      <c r="J509" s="405"/>
      <c r="K509" s="405"/>
      <c r="L509" s="405"/>
      <c r="M509" s="405"/>
      <c r="N509" s="405"/>
    </row>
    <row r="510" spans="3:14" x14ac:dyDescent="0.25">
      <c r="C510" s="405"/>
      <c r="D510" s="405"/>
      <c r="E510" s="405"/>
      <c r="F510" s="405"/>
      <c r="G510" s="405"/>
      <c r="H510" s="405"/>
      <c r="I510" s="405"/>
      <c r="J510" s="405"/>
      <c r="K510" s="405"/>
      <c r="L510" s="405"/>
      <c r="M510" s="405"/>
      <c r="N510" s="405"/>
    </row>
    <row r="511" spans="3:14" x14ac:dyDescent="0.25">
      <c r="C511" s="405"/>
      <c r="D511" s="405"/>
      <c r="E511" s="405"/>
      <c r="F511" s="405"/>
      <c r="G511" s="405"/>
      <c r="H511" s="405"/>
      <c r="I511" s="405"/>
      <c r="J511" s="405"/>
      <c r="K511" s="405"/>
      <c r="L511" s="405"/>
      <c r="M511" s="405"/>
      <c r="N511" s="405"/>
    </row>
    <row r="512" spans="3:14" x14ac:dyDescent="0.25">
      <c r="C512" s="405"/>
      <c r="D512" s="405"/>
      <c r="E512" s="405"/>
      <c r="F512" s="405"/>
      <c r="G512" s="405"/>
      <c r="H512" s="405"/>
      <c r="I512" s="405"/>
      <c r="J512" s="405"/>
      <c r="K512" s="405"/>
      <c r="L512" s="405"/>
      <c r="M512" s="405"/>
      <c r="N512" s="405"/>
    </row>
    <row r="513" spans="3:14" x14ac:dyDescent="0.25">
      <c r="C513" s="405"/>
      <c r="D513" s="405"/>
      <c r="E513" s="405"/>
      <c r="F513" s="405"/>
      <c r="G513" s="405"/>
      <c r="H513" s="405"/>
      <c r="I513" s="405"/>
      <c r="J513" s="405"/>
      <c r="K513" s="405"/>
      <c r="L513" s="405"/>
      <c r="M513" s="405"/>
      <c r="N513" s="405"/>
    </row>
    <row r="514" spans="3:14" x14ac:dyDescent="0.25">
      <c r="C514" s="405"/>
      <c r="D514" s="405"/>
      <c r="E514" s="405"/>
      <c r="F514" s="405"/>
      <c r="G514" s="405"/>
      <c r="H514" s="405"/>
      <c r="I514" s="405"/>
      <c r="J514" s="405"/>
      <c r="K514" s="405"/>
      <c r="L514" s="405"/>
      <c r="M514" s="405"/>
      <c r="N514" s="405"/>
    </row>
    <row r="515" spans="3:14" x14ac:dyDescent="0.25">
      <c r="C515" s="405"/>
      <c r="D515" s="405"/>
      <c r="E515" s="405"/>
      <c r="F515" s="405"/>
      <c r="G515" s="405"/>
      <c r="H515" s="405"/>
      <c r="I515" s="405"/>
      <c r="J515" s="405"/>
      <c r="K515" s="405"/>
      <c r="L515" s="405"/>
      <c r="M515" s="405"/>
      <c r="N515" s="405"/>
    </row>
    <row r="516" spans="3:14" x14ac:dyDescent="0.25">
      <c r="C516" s="405"/>
      <c r="D516" s="405"/>
      <c r="E516" s="405"/>
      <c r="F516" s="405"/>
      <c r="G516" s="405"/>
      <c r="H516" s="405"/>
      <c r="I516" s="405"/>
      <c r="J516" s="405"/>
      <c r="K516" s="405"/>
      <c r="L516" s="405"/>
      <c r="M516" s="405"/>
      <c r="N516" s="405"/>
    </row>
    <row r="517" spans="3:14" x14ac:dyDescent="0.25">
      <c r="C517" s="405"/>
      <c r="D517" s="405"/>
      <c r="E517" s="405"/>
      <c r="F517" s="405"/>
      <c r="G517" s="405"/>
      <c r="H517" s="405"/>
      <c r="I517" s="405"/>
      <c r="J517" s="405"/>
      <c r="K517" s="405"/>
      <c r="L517" s="405"/>
      <c r="M517" s="405"/>
      <c r="N517" s="405"/>
    </row>
    <row r="518" spans="3:14" x14ac:dyDescent="0.25">
      <c r="C518" s="405"/>
      <c r="D518" s="405"/>
      <c r="E518" s="405"/>
      <c r="F518" s="405"/>
      <c r="G518" s="405"/>
      <c r="H518" s="405"/>
      <c r="I518" s="405"/>
      <c r="J518" s="405"/>
      <c r="K518" s="405"/>
      <c r="L518" s="405"/>
      <c r="M518" s="405"/>
      <c r="N518" s="405"/>
    </row>
    <row r="519" spans="3:14" x14ac:dyDescent="0.25">
      <c r="C519" s="405"/>
      <c r="D519" s="405"/>
      <c r="E519" s="405"/>
      <c r="F519" s="405"/>
      <c r="G519" s="405"/>
      <c r="H519" s="405"/>
      <c r="I519" s="405"/>
      <c r="J519" s="405"/>
      <c r="K519" s="405"/>
      <c r="L519" s="405"/>
      <c r="M519" s="405"/>
      <c r="N519" s="405"/>
    </row>
    <row r="520" spans="3:14" x14ac:dyDescent="0.25">
      <c r="C520" s="405"/>
      <c r="D520" s="405"/>
      <c r="E520" s="405"/>
      <c r="F520" s="405"/>
      <c r="G520" s="405"/>
      <c r="H520" s="405"/>
      <c r="I520" s="405"/>
      <c r="J520" s="405"/>
      <c r="K520" s="405"/>
      <c r="L520" s="405"/>
      <c r="M520" s="405"/>
      <c r="N520" s="405"/>
    </row>
    <row r="521" spans="3:14" x14ac:dyDescent="0.25">
      <c r="C521" s="405"/>
      <c r="D521" s="405"/>
      <c r="E521" s="405"/>
      <c r="F521" s="405"/>
      <c r="G521" s="405"/>
      <c r="H521" s="405"/>
      <c r="I521" s="405"/>
      <c r="J521" s="405"/>
      <c r="K521" s="405"/>
      <c r="L521" s="405"/>
      <c r="M521" s="405"/>
      <c r="N521" s="405"/>
    </row>
    <row r="522" spans="3:14" x14ac:dyDescent="0.25">
      <c r="C522" s="405"/>
      <c r="D522" s="405"/>
      <c r="E522" s="405"/>
      <c r="F522" s="405"/>
      <c r="G522" s="405"/>
      <c r="H522" s="405"/>
      <c r="I522" s="405"/>
      <c r="J522" s="405"/>
      <c r="K522" s="405"/>
      <c r="L522" s="405"/>
      <c r="M522" s="405"/>
      <c r="N522" s="405"/>
    </row>
    <row r="523" spans="3:14" x14ac:dyDescent="0.25">
      <c r="C523" s="405"/>
      <c r="D523" s="405"/>
      <c r="E523" s="405"/>
      <c r="F523" s="405"/>
      <c r="G523" s="405"/>
      <c r="H523" s="405"/>
      <c r="I523" s="405"/>
      <c r="J523" s="405"/>
      <c r="K523" s="405"/>
      <c r="L523" s="405"/>
      <c r="M523" s="405"/>
      <c r="N523" s="405"/>
    </row>
    <row r="524" spans="3:14" x14ac:dyDescent="0.25">
      <c r="C524" s="405"/>
      <c r="D524" s="405"/>
      <c r="E524" s="405"/>
      <c r="F524" s="405"/>
      <c r="G524" s="405"/>
      <c r="H524" s="405"/>
      <c r="I524" s="405"/>
      <c r="J524" s="405"/>
      <c r="K524" s="405"/>
      <c r="L524" s="405"/>
      <c r="M524" s="405"/>
      <c r="N524" s="405"/>
    </row>
    <row r="525" spans="3:14" x14ac:dyDescent="0.25">
      <c r="C525" s="405"/>
      <c r="D525" s="405"/>
      <c r="E525" s="405"/>
      <c r="F525" s="405"/>
      <c r="G525" s="405"/>
      <c r="H525" s="405"/>
      <c r="I525" s="405"/>
      <c r="J525" s="405"/>
      <c r="K525" s="405"/>
      <c r="L525" s="405"/>
      <c r="M525" s="405"/>
      <c r="N525" s="405"/>
    </row>
    <row r="526" spans="3:14" x14ac:dyDescent="0.25">
      <c r="C526" s="405"/>
      <c r="D526" s="405"/>
      <c r="E526" s="405"/>
      <c r="F526" s="405"/>
      <c r="G526" s="405"/>
      <c r="H526" s="405"/>
      <c r="I526" s="405"/>
      <c r="J526" s="405"/>
      <c r="K526" s="405"/>
      <c r="L526" s="405"/>
      <c r="M526" s="405"/>
      <c r="N526" s="405"/>
    </row>
    <row r="527" spans="3:14" x14ac:dyDescent="0.25">
      <c r="C527" s="405"/>
      <c r="D527" s="405"/>
      <c r="E527" s="405"/>
      <c r="F527" s="405"/>
      <c r="G527" s="405"/>
      <c r="H527" s="405"/>
      <c r="I527" s="405"/>
      <c r="J527" s="405"/>
      <c r="K527" s="405"/>
      <c r="L527" s="405"/>
      <c r="M527" s="405"/>
      <c r="N527" s="405"/>
    </row>
    <row r="528" spans="3:14" x14ac:dyDescent="0.25">
      <c r="C528" s="405"/>
      <c r="D528" s="405"/>
      <c r="E528" s="405"/>
      <c r="F528" s="405"/>
      <c r="G528" s="405"/>
      <c r="H528" s="405"/>
      <c r="I528" s="405"/>
      <c r="J528" s="405"/>
      <c r="K528" s="405"/>
      <c r="L528" s="405"/>
      <c r="M528" s="405"/>
      <c r="N528" s="405"/>
    </row>
    <row r="529" spans="3:14" x14ac:dyDescent="0.25">
      <c r="C529" s="405"/>
      <c r="D529" s="405"/>
      <c r="E529" s="405"/>
      <c r="F529" s="405"/>
      <c r="G529" s="405"/>
      <c r="H529" s="405"/>
      <c r="I529" s="405"/>
      <c r="J529" s="405"/>
      <c r="K529" s="405"/>
      <c r="L529" s="405"/>
      <c r="M529" s="405"/>
      <c r="N529" s="405"/>
    </row>
    <row r="530" spans="3:14" x14ac:dyDescent="0.25">
      <c r="C530" s="405"/>
      <c r="D530" s="405"/>
      <c r="E530" s="405"/>
      <c r="F530" s="405"/>
      <c r="G530" s="405"/>
      <c r="H530" s="405"/>
      <c r="I530" s="405"/>
      <c r="J530" s="405"/>
      <c r="K530" s="405"/>
      <c r="L530" s="405"/>
      <c r="M530" s="405"/>
      <c r="N530" s="405"/>
    </row>
    <row r="531" spans="3:14" x14ac:dyDescent="0.25">
      <c r="C531" s="405"/>
      <c r="D531" s="405"/>
      <c r="E531" s="405"/>
      <c r="F531" s="405"/>
      <c r="G531" s="405"/>
      <c r="H531" s="405"/>
      <c r="I531" s="405"/>
      <c r="J531" s="405"/>
      <c r="K531" s="405"/>
      <c r="L531" s="405"/>
      <c r="M531" s="405"/>
      <c r="N531" s="405"/>
    </row>
    <row r="532" spans="3:14" x14ac:dyDescent="0.25">
      <c r="C532" s="405"/>
      <c r="D532" s="405"/>
      <c r="E532" s="405"/>
      <c r="F532" s="405"/>
      <c r="G532" s="405"/>
      <c r="H532" s="405"/>
      <c r="I532" s="405"/>
      <c r="J532" s="405"/>
      <c r="K532" s="405"/>
      <c r="L532" s="405"/>
      <c r="M532" s="405"/>
      <c r="N532" s="405"/>
    </row>
    <row r="533" spans="3:14" x14ac:dyDescent="0.25">
      <c r="C533" s="405"/>
      <c r="D533" s="405"/>
      <c r="E533" s="405"/>
      <c r="F533" s="405"/>
      <c r="G533" s="405"/>
      <c r="H533" s="405"/>
      <c r="I533" s="405"/>
      <c r="J533" s="405"/>
      <c r="K533" s="405"/>
      <c r="L533" s="405"/>
      <c r="M533" s="405"/>
      <c r="N533" s="405"/>
    </row>
    <row r="534" spans="3:14" x14ac:dyDescent="0.25">
      <c r="C534" s="405"/>
      <c r="D534" s="405"/>
      <c r="E534" s="405"/>
      <c r="F534" s="405"/>
      <c r="G534" s="405"/>
      <c r="H534" s="405"/>
      <c r="I534" s="405"/>
      <c r="J534" s="405"/>
      <c r="K534" s="405"/>
      <c r="L534" s="405"/>
      <c r="M534" s="405"/>
      <c r="N534" s="405"/>
    </row>
    <row r="535" spans="3:14" x14ac:dyDescent="0.25">
      <c r="C535" s="405"/>
      <c r="D535" s="405"/>
      <c r="E535" s="405"/>
      <c r="F535" s="405"/>
      <c r="G535" s="405"/>
      <c r="H535" s="405"/>
      <c r="I535" s="405"/>
      <c r="J535" s="405"/>
      <c r="K535" s="405"/>
      <c r="L535" s="405"/>
      <c r="M535" s="405"/>
      <c r="N535" s="405"/>
    </row>
    <row r="536" spans="3:14" x14ac:dyDescent="0.25">
      <c r="C536" s="405"/>
      <c r="D536" s="405"/>
      <c r="E536" s="405"/>
      <c r="F536" s="405"/>
      <c r="G536" s="405"/>
      <c r="H536" s="405"/>
      <c r="I536" s="405"/>
      <c r="J536" s="405"/>
      <c r="K536" s="405"/>
      <c r="L536" s="405"/>
      <c r="M536" s="405"/>
      <c r="N536" s="405"/>
    </row>
    <row r="537" spans="3:14" x14ac:dyDescent="0.25">
      <c r="C537" s="405"/>
      <c r="D537" s="405"/>
      <c r="E537" s="405"/>
      <c r="F537" s="405"/>
      <c r="G537" s="405"/>
      <c r="H537" s="405"/>
      <c r="I537" s="405"/>
      <c r="J537" s="405"/>
      <c r="K537" s="405"/>
      <c r="L537" s="405"/>
      <c r="M537" s="405"/>
      <c r="N537" s="405"/>
    </row>
    <row r="538" spans="3:14" x14ac:dyDescent="0.25">
      <c r="C538" s="405"/>
      <c r="D538" s="405"/>
      <c r="E538" s="405"/>
      <c r="F538" s="405"/>
      <c r="G538" s="405"/>
      <c r="H538" s="405"/>
      <c r="I538" s="405"/>
      <c r="J538" s="405"/>
      <c r="K538" s="405"/>
      <c r="L538" s="405"/>
      <c r="M538" s="405"/>
      <c r="N538" s="405"/>
    </row>
    <row r="539" spans="3:14" x14ac:dyDescent="0.25">
      <c r="C539" s="405"/>
      <c r="D539" s="405"/>
      <c r="E539" s="405"/>
      <c r="F539" s="405"/>
      <c r="G539" s="405"/>
      <c r="H539" s="405"/>
      <c r="I539" s="405"/>
      <c r="J539" s="405"/>
      <c r="K539" s="405"/>
      <c r="L539" s="405"/>
      <c r="M539" s="405"/>
      <c r="N539" s="405"/>
    </row>
    <row r="540" spans="3:14" x14ac:dyDescent="0.25">
      <c r="C540" s="405"/>
      <c r="D540" s="405"/>
      <c r="E540" s="405"/>
      <c r="F540" s="405"/>
      <c r="G540" s="405"/>
      <c r="H540" s="405"/>
      <c r="I540" s="405"/>
      <c r="J540" s="405"/>
      <c r="K540" s="405"/>
      <c r="L540" s="405"/>
      <c r="M540" s="405"/>
      <c r="N540" s="405"/>
    </row>
    <row r="541" spans="3:14" x14ac:dyDescent="0.25">
      <c r="C541" s="405"/>
      <c r="D541" s="405"/>
      <c r="E541" s="405"/>
      <c r="F541" s="405"/>
      <c r="G541" s="405"/>
      <c r="H541" s="405"/>
      <c r="I541" s="405"/>
      <c r="J541" s="405"/>
      <c r="K541" s="405"/>
      <c r="L541" s="405"/>
      <c r="M541" s="405"/>
      <c r="N541" s="405"/>
    </row>
    <row r="542" spans="3:14" x14ac:dyDescent="0.25">
      <c r="C542" s="405"/>
      <c r="D542" s="405"/>
      <c r="E542" s="405"/>
      <c r="F542" s="405"/>
      <c r="G542" s="405"/>
      <c r="H542" s="405"/>
      <c r="I542" s="405"/>
      <c r="J542" s="405"/>
      <c r="K542" s="405"/>
      <c r="L542" s="405"/>
      <c r="M542" s="405"/>
      <c r="N542" s="405"/>
    </row>
    <row r="543" spans="3:14" x14ac:dyDescent="0.25">
      <c r="C543" s="405"/>
      <c r="D543" s="405"/>
      <c r="E543" s="405"/>
      <c r="F543" s="405"/>
      <c r="G543" s="405"/>
      <c r="H543" s="405"/>
      <c r="I543" s="405"/>
      <c r="J543" s="405"/>
      <c r="K543" s="405"/>
      <c r="L543" s="405"/>
      <c r="M543" s="405"/>
      <c r="N543" s="405"/>
    </row>
    <row r="544" spans="3:14" x14ac:dyDescent="0.25">
      <c r="C544" s="405"/>
      <c r="D544" s="405"/>
      <c r="E544" s="405"/>
      <c r="F544" s="405"/>
      <c r="G544" s="405"/>
      <c r="H544" s="405"/>
      <c r="I544" s="405"/>
      <c r="J544" s="405"/>
      <c r="K544" s="405"/>
      <c r="L544" s="405"/>
      <c r="M544" s="405"/>
      <c r="N544" s="405"/>
    </row>
    <row r="545" spans="3:14" x14ac:dyDescent="0.25">
      <c r="C545" s="405"/>
      <c r="D545" s="405"/>
      <c r="E545" s="405"/>
      <c r="F545" s="405"/>
      <c r="G545" s="405"/>
      <c r="H545" s="405"/>
      <c r="I545" s="405"/>
      <c r="J545" s="405"/>
      <c r="K545" s="405"/>
      <c r="L545" s="405"/>
      <c r="M545" s="405"/>
      <c r="N545" s="405"/>
    </row>
    <row r="546" spans="3:14" x14ac:dyDescent="0.25">
      <c r="C546" s="405"/>
      <c r="D546" s="405"/>
      <c r="E546" s="405"/>
      <c r="F546" s="405"/>
      <c r="G546" s="405"/>
      <c r="H546" s="405"/>
      <c r="I546" s="405"/>
      <c r="J546" s="405"/>
      <c r="K546" s="405"/>
      <c r="L546" s="405"/>
      <c r="M546" s="405"/>
      <c r="N546" s="405"/>
    </row>
    <row r="547" spans="3:14" x14ac:dyDescent="0.25">
      <c r="C547" s="405"/>
      <c r="D547" s="405"/>
      <c r="E547" s="405"/>
      <c r="F547" s="405"/>
      <c r="G547" s="405"/>
      <c r="H547" s="405"/>
      <c r="I547" s="405"/>
      <c r="J547" s="405"/>
      <c r="K547" s="405"/>
      <c r="L547" s="405"/>
      <c r="M547" s="405"/>
      <c r="N547" s="405"/>
    </row>
    <row r="548" spans="3:14" x14ac:dyDescent="0.25">
      <c r="C548" s="405"/>
      <c r="D548" s="405"/>
      <c r="E548" s="405"/>
      <c r="F548" s="405"/>
      <c r="G548" s="405"/>
      <c r="H548" s="405"/>
      <c r="I548" s="405"/>
      <c r="J548" s="405"/>
      <c r="K548" s="405"/>
      <c r="L548" s="405"/>
      <c r="M548" s="405"/>
      <c r="N548" s="405"/>
    </row>
    <row r="549" spans="3:14" x14ac:dyDescent="0.25">
      <c r="C549" s="405"/>
      <c r="D549" s="405"/>
      <c r="E549" s="405"/>
      <c r="F549" s="405"/>
      <c r="G549" s="405"/>
      <c r="H549" s="405"/>
      <c r="I549" s="405"/>
      <c r="J549" s="405"/>
      <c r="K549" s="405"/>
      <c r="L549" s="405"/>
      <c r="M549" s="405"/>
      <c r="N549" s="405"/>
    </row>
    <row r="550" spans="3:14" x14ac:dyDescent="0.25">
      <c r="C550" s="405"/>
      <c r="D550" s="405"/>
      <c r="E550" s="405"/>
      <c r="F550" s="405"/>
      <c r="G550" s="405"/>
      <c r="H550" s="405"/>
      <c r="I550" s="405"/>
      <c r="J550" s="405"/>
      <c r="K550" s="405"/>
      <c r="L550" s="405"/>
      <c r="M550" s="405"/>
      <c r="N550" s="405"/>
    </row>
    <row r="551" spans="3:14" x14ac:dyDescent="0.25">
      <c r="C551" s="405"/>
      <c r="D551" s="405"/>
      <c r="E551" s="405"/>
      <c r="F551" s="405"/>
      <c r="G551" s="405"/>
      <c r="H551" s="405"/>
      <c r="I551" s="405"/>
      <c r="J551" s="405"/>
      <c r="K551" s="405"/>
      <c r="L551" s="405"/>
      <c r="M551" s="405"/>
      <c r="N551" s="405"/>
    </row>
    <row r="552" spans="3:14" x14ac:dyDescent="0.25">
      <c r="C552" s="405"/>
      <c r="D552" s="405"/>
      <c r="E552" s="405"/>
      <c r="F552" s="405"/>
      <c r="G552" s="405"/>
      <c r="H552" s="405"/>
      <c r="I552" s="405"/>
      <c r="J552" s="405"/>
      <c r="K552" s="405"/>
      <c r="L552" s="405"/>
      <c r="M552" s="405"/>
      <c r="N552" s="405"/>
    </row>
    <row r="553" spans="3:14" x14ac:dyDescent="0.25">
      <c r="C553" s="405"/>
      <c r="D553" s="405"/>
      <c r="E553" s="405"/>
      <c r="F553" s="405"/>
      <c r="G553" s="405"/>
      <c r="H553" s="405"/>
      <c r="I553" s="405"/>
      <c r="J553" s="405"/>
      <c r="K553" s="405"/>
      <c r="L553" s="405"/>
      <c r="M553" s="405"/>
      <c r="N553" s="405"/>
    </row>
    <row r="554" spans="3:14" x14ac:dyDescent="0.25">
      <c r="C554" s="405"/>
      <c r="D554" s="405"/>
      <c r="E554" s="405"/>
      <c r="F554" s="405"/>
      <c r="G554" s="405"/>
      <c r="H554" s="405"/>
      <c r="I554" s="405"/>
      <c r="J554" s="405"/>
      <c r="K554" s="405"/>
      <c r="L554" s="405"/>
      <c r="M554" s="405"/>
      <c r="N554" s="405"/>
    </row>
    <row r="555" spans="3:14" x14ac:dyDescent="0.25">
      <c r="C555" s="405"/>
      <c r="D555" s="405"/>
      <c r="E555" s="405"/>
      <c r="F555" s="405"/>
      <c r="G555" s="405"/>
      <c r="H555" s="405"/>
      <c r="I555" s="405"/>
      <c r="J555" s="405"/>
      <c r="K555" s="405"/>
      <c r="L555" s="405"/>
      <c r="M555" s="405"/>
      <c r="N555" s="405"/>
    </row>
    <row r="556" spans="3:14" x14ac:dyDescent="0.25">
      <c r="C556" s="405"/>
      <c r="D556" s="405"/>
      <c r="E556" s="405"/>
      <c r="F556" s="405"/>
      <c r="G556" s="405"/>
      <c r="H556" s="405"/>
      <c r="I556" s="405"/>
      <c r="J556" s="405"/>
      <c r="K556" s="405"/>
      <c r="L556" s="405"/>
      <c r="M556" s="405"/>
      <c r="N556" s="405"/>
    </row>
    <row r="557" spans="3:14" x14ac:dyDescent="0.25">
      <c r="C557" s="405"/>
      <c r="D557" s="405"/>
      <c r="E557" s="405"/>
      <c r="F557" s="405"/>
      <c r="G557" s="405"/>
      <c r="H557" s="405"/>
      <c r="I557" s="405"/>
      <c r="J557" s="405"/>
      <c r="K557" s="405"/>
      <c r="L557" s="405"/>
      <c r="M557" s="405"/>
      <c r="N557" s="405"/>
    </row>
    <row r="558" spans="3:14" x14ac:dyDescent="0.25">
      <c r="C558" s="405"/>
      <c r="D558" s="405"/>
      <c r="E558" s="405"/>
      <c r="F558" s="405"/>
      <c r="G558" s="405"/>
      <c r="H558" s="405"/>
      <c r="I558" s="405"/>
      <c r="J558" s="405"/>
      <c r="K558" s="405"/>
      <c r="L558" s="405"/>
      <c r="M558" s="405"/>
      <c r="N558" s="405"/>
    </row>
    <row r="559" spans="3:14" x14ac:dyDescent="0.25">
      <c r="C559" s="405"/>
      <c r="D559" s="405"/>
      <c r="E559" s="405"/>
      <c r="F559" s="405"/>
      <c r="G559" s="405"/>
      <c r="H559" s="405"/>
      <c r="I559" s="405"/>
      <c r="J559" s="405"/>
      <c r="K559" s="405"/>
      <c r="L559" s="405"/>
      <c r="M559" s="405"/>
      <c r="N559" s="405"/>
    </row>
    <row r="560" spans="3:14" x14ac:dyDescent="0.25">
      <c r="C560" s="405"/>
      <c r="D560" s="405"/>
      <c r="E560" s="405"/>
      <c r="F560" s="405"/>
      <c r="G560" s="405"/>
      <c r="H560" s="405"/>
      <c r="I560" s="405"/>
      <c r="J560" s="405"/>
      <c r="K560" s="405"/>
      <c r="L560" s="405"/>
      <c r="M560" s="405"/>
      <c r="N560" s="405"/>
    </row>
    <row r="561" spans="3:14" x14ac:dyDescent="0.25">
      <c r="C561" s="405"/>
      <c r="D561" s="405"/>
      <c r="E561" s="405"/>
      <c r="F561" s="405"/>
      <c r="G561" s="405"/>
      <c r="H561" s="405"/>
      <c r="I561" s="405"/>
      <c r="J561" s="405"/>
      <c r="K561" s="405"/>
      <c r="L561" s="405"/>
      <c r="M561" s="405"/>
      <c r="N561" s="405"/>
    </row>
    <row r="562" spans="3:14" x14ac:dyDescent="0.25">
      <c r="C562" s="405"/>
      <c r="D562" s="405"/>
      <c r="E562" s="405"/>
      <c r="F562" s="405"/>
      <c r="G562" s="405"/>
      <c r="H562" s="405"/>
      <c r="I562" s="405"/>
      <c r="J562" s="405"/>
      <c r="K562" s="405"/>
      <c r="L562" s="405"/>
      <c r="M562" s="405"/>
      <c r="N562" s="405"/>
    </row>
    <row r="563" spans="3:14" x14ac:dyDescent="0.25">
      <c r="C563" s="405"/>
      <c r="D563" s="405"/>
      <c r="E563" s="405"/>
      <c r="F563" s="405"/>
      <c r="G563" s="405"/>
      <c r="H563" s="405"/>
      <c r="I563" s="405"/>
      <c r="J563" s="405"/>
      <c r="K563" s="405"/>
      <c r="L563" s="405"/>
      <c r="M563" s="405"/>
      <c r="N563" s="405"/>
    </row>
    <row r="564" spans="3:14" x14ac:dyDescent="0.25">
      <c r="C564" s="405"/>
      <c r="D564" s="405"/>
      <c r="E564" s="405"/>
      <c r="F564" s="405"/>
      <c r="G564" s="405"/>
      <c r="H564" s="405"/>
      <c r="I564" s="405"/>
      <c r="J564" s="405"/>
      <c r="K564" s="405"/>
      <c r="L564" s="405"/>
      <c r="M564" s="405"/>
      <c r="N564" s="405"/>
    </row>
    <row r="565" spans="3:14" x14ac:dyDescent="0.25">
      <c r="C565" s="405"/>
      <c r="D565" s="405"/>
      <c r="E565" s="405"/>
      <c r="F565" s="405"/>
      <c r="G565" s="405"/>
      <c r="H565" s="405"/>
      <c r="I565" s="405"/>
      <c r="J565" s="405"/>
      <c r="K565" s="405"/>
      <c r="L565" s="405"/>
      <c r="M565" s="405"/>
      <c r="N565" s="405"/>
    </row>
    <row r="566" spans="3:14" x14ac:dyDescent="0.25">
      <c r="C566" s="405"/>
      <c r="D566" s="405"/>
      <c r="E566" s="405"/>
      <c r="F566" s="405"/>
      <c r="G566" s="405"/>
      <c r="H566" s="405"/>
      <c r="I566" s="405"/>
      <c r="J566" s="405"/>
      <c r="K566" s="405"/>
      <c r="L566" s="405"/>
      <c r="M566" s="405"/>
      <c r="N566" s="405"/>
    </row>
    <row r="567" spans="3:14" x14ac:dyDescent="0.25">
      <c r="C567" s="405"/>
      <c r="D567" s="405"/>
      <c r="E567" s="405"/>
      <c r="F567" s="405"/>
      <c r="G567" s="405"/>
      <c r="H567" s="405"/>
      <c r="I567" s="405"/>
      <c r="J567" s="405"/>
      <c r="K567" s="405"/>
      <c r="L567" s="405"/>
      <c r="M567" s="405"/>
      <c r="N567" s="405"/>
    </row>
    <row r="568" spans="3:14" x14ac:dyDescent="0.25">
      <c r="C568" s="405"/>
      <c r="D568" s="405"/>
      <c r="E568" s="405"/>
      <c r="F568" s="405"/>
      <c r="G568" s="405"/>
      <c r="H568" s="405"/>
      <c r="I568" s="405"/>
      <c r="J568" s="405"/>
      <c r="K568" s="405"/>
      <c r="L568" s="405"/>
      <c r="M568" s="405"/>
      <c r="N568" s="405"/>
    </row>
    <row r="569" spans="3:14" x14ac:dyDescent="0.25">
      <c r="C569" s="405"/>
      <c r="D569" s="405"/>
      <c r="E569" s="405"/>
      <c r="F569" s="405"/>
      <c r="G569" s="405"/>
      <c r="H569" s="405"/>
      <c r="I569" s="405"/>
      <c r="J569" s="405"/>
      <c r="K569" s="405"/>
      <c r="L569" s="405"/>
      <c r="M569" s="405"/>
      <c r="N569" s="405"/>
    </row>
    <row r="570" spans="3:14" x14ac:dyDescent="0.25">
      <c r="C570" s="405"/>
      <c r="D570" s="405"/>
      <c r="E570" s="405"/>
      <c r="F570" s="405"/>
      <c r="G570" s="405"/>
      <c r="H570" s="405"/>
      <c r="I570" s="405"/>
      <c r="J570" s="405"/>
      <c r="K570" s="405"/>
      <c r="L570" s="405"/>
      <c r="M570" s="405"/>
      <c r="N570" s="405"/>
    </row>
    <row r="571" spans="3:14" x14ac:dyDescent="0.25">
      <c r="C571" s="405"/>
      <c r="D571" s="405"/>
      <c r="E571" s="405"/>
      <c r="F571" s="405"/>
      <c r="G571" s="405"/>
      <c r="H571" s="405"/>
      <c r="I571" s="405"/>
      <c r="J571" s="405"/>
      <c r="K571" s="405"/>
      <c r="L571" s="405"/>
      <c r="M571" s="405"/>
      <c r="N571" s="405"/>
    </row>
    <row r="572" spans="3:14" x14ac:dyDescent="0.25">
      <c r="C572" s="405"/>
      <c r="D572" s="405"/>
      <c r="E572" s="405"/>
      <c r="F572" s="405"/>
      <c r="G572" s="405"/>
      <c r="H572" s="405"/>
      <c r="I572" s="405"/>
      <c r="J572" s="405"/>
      <c r="K572" s="405"/>
      <c r="L572" s="405"/>
      <c r="M572" s="405"/>
      <c r="N572" s="405"/>
    </row>
    <row r="573" spans="3:14" x14ac:dyDescent="0.25">
      <c r="C573" s="405"/>
      <c r="D573" s="405"/>
      <c r="E573" s="405"/>
      <c r="F573" s="405"/>
      <c r="G573" s="405"/>
      <c r="H573" s="405"/>
      <c r="I573" s="405"/>
      <c r="J573" s="405"/>
      <c r="K573" s="405"/>
      <c r="L573" s="405"/>
      <c r="M573" s="405"/>
      <c r="N573" s="405"/>
    </row>
    <row r="574" spans="3:14" x14ac:dyDescent="0.25">
      <c r="C574" s="405"/>
      <c r="D574" s="405"/>
      <c r="E574" s="405"/>
      <c r="F574" s="405"/>
      <c r="G574" s="405"/>
      <c r="H574" s="405"/>
      <c r="I574" s="405"/>
      <c r="J574" s="405"/>
      <c r="K574" s="405"/>
      <c r="L574" s="405"/>
      <c r="M574" s="405"/>
      <c r="N574" s="405"/>
    </row>
    <row r="575" spans="3:14" x14ac:dyDescent="0.25">
      <c r="C575" s="405"/>
      <c r="D575" s="405"/>
      <c r="E575" s="405"/>
      <c r="F575" s="405"/>
      <c r="G575" s="405"/>
      <c r="H575" s="405"/>
      <c r="I575" s="405"/>
      <c r="J575" s="405"/>
      <c r="K575" s="405"/>
      <c r="L575" s="405"/>
      <c r="M575" s="405"/>
      <c r="N575" s="405"/>
    </row>
    <row r="576" spans="3:14" x14ac:dyDescent="0.25">
      <c r="C576" s="405"/>
      <c r="D576" s="405"/>
      <c r="E576" s="405"/>
      <c r="F576" s="405"/>
      <c r="G576" s="405"/>
      <c r="H576" s="405"/>
      <c r="I576" s="405"/>
      <c r="J576" s="405"/>
      <c r="K576" s="405"/>
      <c r="L576" s="405"/>
      <c r="M576" s="405"/>
      <c r="N576" s="405"/>
    </row>
    <row r="577" spans="3:14" x14ac:dyDescent="0.25">
      <c r="C577" s="405"/>
      <c r="D577" s="405"/>
      <c r="E577" s="405"/>
      <c r="F577" s="405"/>
      <c r="G577" s="405"/>
      <c r="H577" s="405"/>
      <c r="I577" s="405"/>
      <c r="J577" s="405"/>
      <c r="K577" s="405"/>
      <c r="L577" s="405"/>
      <c r="M577" s="405"/>
      <c r="N577" s="405"/>
    </row>
    <row r="578" spans="3:14" x14ac:dyDescent="0.25">
      <c r="C578" s="405"/>
      <c r="D578" s="405"/>
      <c r="E578" s="405"/>
      <c r="F578" s="405"/>
      <c r="G578" s="405"/>
      <c r="H578" s="405"/>
      <c r="I578" s="405"/>
      <c r="J578" s="405"/>
      <c r="K578" s="405"/>
      <c r="L578" s="405"/>
      <c r="M578" s="405"/>
      <c r="N578" s="405"/>
    </row>
    <row r="579" spans="3:14" x14ac:dyDescent="0.25">
      <c r="C579" s="405"/>
      <c r="D579" s="405"/>
      <c r="E579" s="405"/>
      <c r="F579" s="405"/>
      <c r="G579" s="405"/>
      <c r="H579" s="405"/>
      <c r="I579" s="405"/>
      <c r="J579" s="405"/>
      <c r="K579" s="405"/>
      <c r="L579" s="405"/>
      <c r="M579" s="405"/>
      <c r="N579" s="405"/>
    </row>
    <row r="580" spans="3:14" x14ac:dyDescent="0.25">
      <c r="C580" s="405"/>
      <c r="D580" s="405"/>
      <c r="E580" s="405"/>
      <c r="F580" s="405"/>
      <c r="G580" s="405"/>
      <c r="H580" s="405"/>
      <c r="I580" s="405"/>
      <c r="J580" s="405"/>
      <c r="K580" s="405"/>
      <c r="L580" s="405"/>
      <c r="M580" s="405"/>
      <c r="N580" s="405"/>
    </row>
    <row r="581" spans="3:14" x14ac:dyDescent="0.25">
      <c r="C581" s="405"/>
      <c r="D581" s="405"/>
      <c r="E581" s="405"/>
      <c r="F581" s="405"/>
      <c r="G581" s="405"/>
      <c r="H581" s="405"/>
      <c r="I581" s="405"/>
      <c r="J581" s="405"/>
      <c r="K581" s="405"/>
      <c r="L581" s="405"/>
      <c r="M581" s="405"/>
      <c r="N581" s="405"/>
    </row>
    <row r="582" spans="3:14" x14ac:dyDescent="0.25">
      <c r="C582" s="405"/>
      <c r="D582" s="405"/>
      <c r="E582" s="405"/>
      <c r="F582" s="405"/>
      <c r="G582" s="405"/>
      <c r="H582" s="405"/>
      <c r="I582" s="405"/>
      <c r="J582" s="405"/>
      <c r="K582" s="405"/>
      <c r="L582" s="405"/>
      <c r="M582" s="405"/>
      <c r="N582" s="405"/>
    </row>
    <row r="583" spans="3:14" x14ac:dyDescent="0.25">
      <c r="C583" s="405"/>
      <c r="D583" s="405"/>
      <c r="E583" s="405"/>
      <c r="F583" s="405"/>
      <c r="G583" s="405"/>
      <c r="H583" s="405"/>
      <c r="I583" s="405"/>
      <c r="J583" s="405"/>
      <c r="K583" s="405"/>
      <c r="L583" s="405"/>
      <c r="M583" s="405"/>
      <c r="N583" s="405"/>
    </row>
    <row r="584" spans="3:14" x14ac:dyDescent="0.25">
      <c r="C584" s="405"/>
      <c r="D584" s="405"/>
      <c r="E584" s="405"/>
      <c r="F584" s="405"/>
      <c r="G584" s="405"/>
      <c r="H584" s="405"/>
      <c r="I584" s="405"/>
      <c r="J584" s="405"/>
      <c r="K584" s="405"/>
      <c r="L584" s="405"/>
      <c r="M584" s="405"/>
      <c r="N584" s="405"/>
    </row>
    <row r="585" spans="3:14" x14ac:dyDescent="0.25">
      <c r="C585" s="405"/>
      <c r="D585" s="405"/>
      <c r="E585" s="405"/>
      <c r="F585" s="405"/>
      <c r="G585" s="405"/>
      <c r="H585" s="405"/>
      <c r="I585" s="405"/>
      <c r="J585" s="405"/>
      <c r="K585" s="405"/>
      <c r="L585" s="405"/>
      <c r="M585" s="405"/>
      <c r="N585" s="405"/>
    </row>
    <row r="586" spans="3:14" x14ac:dyDescent="0.25">
      <c r="C586" s="405"/>
      <c r="D586" s="405"/>
      <c r="E586" s="405"/>
      <c r="F586" s="405"/>
      <c r="G586" s="405"/>
      <c r="H586" s="405"/>
      <c r="I586" s="405"/>
      <c r="J586" s="405"/>
      <c r="K586" s="405"/>
      <c r="L586" s="405"/>
      <c r="M586" s="405"/>
      <c r="N586" s="405"/>
    </row>
    <row r="587" spans="3:14" x14ac:dyDescent="0.25">
      <c r="C587" s="405"/>
      <c r="D587" s="405"/>
      <c r="E587" s="405"/>
      <c r="F587" s="405"/>
      <c r="G587" s="405"/>
      <c r="H587" s="405"/>
      <c r="I587" s="405"/>
      <c r="J587" s="405"/>
      <c r="K587" s="405"/>
      <c r="L587" s="405"/>
      <c r="M587" s="405"/>
      <c r="N587" s="405"/>
    </row>
    <row r="588" spans="3:14" x14ac:dyDescent="0.25">
      <c r="C588" s="405"/>
      <c r="D588" s="405"/>
      <c r="E588" s="405"/>
      <c r="F588" s="405"/>
      <c r="G588" s="405"/>
      <c r="H588" s="405"/>
      <c r="I588" s="405"/>
      <c r="J588" s="405"/>
      <c r="K588" s="405"/>
      <c r="L588" s="405"/>
      <c r="M588" s="405"/>
      <c r="N588" s="405"/>
    </row>
    <row r="589" spans="3:14" x14ac:dyDescent="0.25">
      <c r="C589" s="405"/>
      <c r="D589" s="405"/>
      <c r="E589" s="405"/>
      <c r="F589" s="405"/>
      <c r="G589" s="405"/>
      <c r="H589" s="405"/>
      <c r="I589" s="405"/>
      <c r="J589" s="405"/>
      <c r="K589" s="405"/>
      <c r="L589" s="405"/>
      <c r="M589" s="405"/>
      <c r="N589" s="405"/>
    </row>
    <row r="590" spans="3:14" x14ac:dyDescent="0.25">
      <c r="C590" s="405"/>
      <c r="D590" s="405"/>
      <c r="E590" s="405"/>
      <c r="F590" s="405"/>
      <c r="G590" s="405"/>
      <c r="H590" s="405"/>
      <c r="I590" s="405"/>
      <c r="J590" s="405"/>
      <c r="K590" s="405"/>
      <c r="L590" s="405"/>
      <c r="M590" s="405"/>
      <c r="N590" s="405"/>
    </row>
    <row r="591" spans="3:14" x14ac:dyDescent="0.25">
      <c r="C591" s="405"/>
      <c r="D591" s="405"/>
      <c r="E591" s="405"/>
      <c r="F591" s="405"/>
      <c r="G591" s="405"/>
      <c r="H591" s="405"/>
      <c r="I591" s="405"/>
      <c r="J591" s="405"/>
      <c r="K591" s="405"/>
      <c r="L591" s="405"/>
      <c r="M591" s="405"/>
      <c r="N591" s="405"/>
    </row>
    <row r="592" spans="3:14" x14ac:dyDescent="0.25">
      <c r="C592" s="405"/>
      <c r="D592" s="405"/>
      <c r="E592" s="405"/>
      <c r="F592" s="405"/>
      <c r="G592" s="405"/>
      <c r="H592" s="405"/>
      <c r="I592" s="405"/>
      <c r="J592" s="405"/>
      <c r="K592" s="405"/>
      <c r="L592" s="405"/>
      <c r="M592" s="405"/>
      <c r="N592" s="405"/>
    </row>
    <row r="593" spans="3:14" x14ac:dyDescent="0.25">
      <c r="C593" s="405"/>
      <c r="D593" s="405"/>
      <c r="E593" s="405"/>
      <c r="F593" s="405"/>
      <c r="G593" s="405"/>
      <c r="H593" s="405"/>
      <c r="I593" s="405"/>
      <c r="J593" s="405"/>
      <c r="K593" s="405"/>
      <c r="L593" s="405"/>
      <c r="M593" s="405"/>
      <c r="N593" s="405"/>
    </row>
    <row r="594" spans="3:14" x14ac:dyDescent="0.25">
      <c r="C594" s="405"/>
      <c r="D594" s="405"/>
      <c r="E594" s="405"/>
      <c r="F594" s="405"/>
      <c r="G594" s="405"/>
      <c r="H594" s="405"/>
      <c r="I594" s="405"/>
      <c r="J594" s="405"/>
      <c r="K594" s="405"/>
      <c r="L594" s="405"/>
      <c r="M594" s="405"/>
      <c r="N594" s="405"/>
    </row>
    <row r="595" spans="3:14" x14ac:dyDescent="0.25">
      <c r="C595" s="405"/>
      <c r="D595" s="405"/>
      <c r="E595" s="405"/>
      <c r="F595" s="405"/>
      <c r="G595" s="405"/>
      <c r="H595" s="405"/>
      <c r="I595" s="405"/>
      <c r="J595" s="405"/>
      <c r="K595" s="405"/>
      <c r="L595" s="405"/>
      <c r="M595" s="405"/>
      <c r="N595" s="405"/>
    </row>
    <row r="596" spans="3:14" x14ac:dyDescent="0.25">
      <c r="C596" s="405"/>
      <c r="D596" s="405"/>
      <c r="E596" s="405"/>
      <c r="F596" s="405"/>
      <c r="G596" s="405"/>
      <c r="H596" s="405"/>
      <c r="I596" s="405"/>
      <c r="J596" s="405"/>
      <c r="K596" s="405"/>
      <c r="L596" s="405"/>
      <c r="M596" s="405"/>
      <c r="N596" s="405"/>
    </row>
    <row r="597" spans="3:14" x14ac:dyDescent="0.25">
      <c r="C597" s="405"/>
      <c r="D597" s="405"/>
      <c r="E597" s="405"/>
      <c r="F597" s="405"/>
      <c r="G597" s="405"/>
      <c r="H597" s="405"/>
      <c r="I597" s="405"/>
      <c r="J597" s="405"/>
      <c r="K597" s="405"/>
      <c r="L597" s="405"/>
      <c r="M597" s="405"/>
      <c r="N597" s="405"/>
    </row>
    <row r="598" spans="3:14" x14ac:dyDescent="0.25">
      <c r="C598" s="405"/>
      <c r="D598" s="405"/>
      <c r="E598" s="405"/>
      <c r="F598" s="405"/>
      <c r="G598" s="405"/>
      <c r="H598" s="405"/>
      <c r="I598" s="405"/>
      <c r="J598" s="405"/>
      <c r="K598" s="405"/>
      <c r="L598" s="405"/>
      <c r="M598" s="405"/>
      <c r="N598" s="405"/>
    </row>
    <row r="599" spans="3:14" x14ac:dyDescent="0.25">
      <c r="C599" s="405"/>
      <c r="D599" s="405"/>
      <c r="E599" s="405"/>
      <c r="F599" s="405"/>
      <c r="G599" s="405"/>
      <c r="H599" s="405"/>
      <c r="I599" s="405"/>
      <c r="J599" s="405"/>
      <c r="K599" s="405"/>
      <c r="L599" s="405"/>
      <c r="M599" s="405"/>
      <c r="N599" s="405"/>
    </row>
    <row r="600" spans="3:14" x14ac:dyDescent="0.25">
      <c r="C600" s="405"/>
      <c r="D600" s="405"/>
      <c r="E600" s="405"/>
      <c r="F600" s="405"/>
      <c r="G600" s="405"/>
      <c r="H600" s="405"/>
      <c r="I600" s="405"/>
      <c r="J600" s="405"/>
      <c r="K600" s="405"/>
      <c r="L600" s="405"/>
      <c r="M600" s="405"/>
      <c r="N600" s="405"/>
    </row>
    <row r="601" spans="3:14" x14ac:dyDescent="0.25">
      <c r="C601" s="405"/>
      <c r="D601" s="405"/>
      <c r="E601" s="405"/>
      <c r="F601" s="405"/>
      <c r="G601" s="405"/>
      <c r="H601" s="405"/>
      <c r="I601" s="405"/>
      <c r="J601" s="405"/>
      <c r="K601" s="405"/>
      <c r="L601" s="405"/>
      <c r="M601" s="405"/>
      <c r="N601" s="405"/>
    </row>
    <row r="602" spans="3:14" x14ac:dyDescent="0.25">
      <c r="C602" s="405"/>
      <c r="D602" s="405"/>
      <c r="E602" s="405"/>
      <c r="F602" s="405"/>
      <c r="G602" s="405"/>
      <c r="H602" s="405"/>
      <c r="I602" s="405"/>
      <c r="J602" s="405"/>
      <c r="K602" s="405"/>
      <c r="L602" s="405"/>
      <c r="M602" s="405"/>
      <c r="N602" s="405"/>
    </row>
    <row r="603" spans="3:14" x14ac:dyDescent="0.25">
      <c r="C603" s="405"/>
      <c r="D603" s="405"/>
      <c r="E603" s="405"/>
      <c r="F603" s="405"/>
      <c r="G603" s="405"/>
      <c r="H603" s="405"/>
      <c r="I603" s="405"/>
      <c r="J603" s="405"/>
      <c r="K603" s="405"/>
      <c r="L603" s="405"/>
      <c r="M603" s="405"/>
      <c r="N603" s="405"/>
    </row>
    <row r="604" spans="3:14" x14ac:dyDescent="0.25">
      <c r="C604" s="405"/>
      <c r="D604" s="405"/>
      <c r="E604" s="405"/>
      <c r="F604" s="405"/>
      <c r="G604" s="405"/>
      <c r="H604" s="405"/>
      <c r="I604" s="405"/>
      <c r="J604" s="405"/>
      <c r="K604" s="405"/>
      <c r="L604" s="405"/>
      <c r="M604" s="405"/>
      <c r="N604" s="405"/>
    </row>
    <row r="605" spans="3:14" x14ac:dyDescent="0.25">
      <c r="C605" s="405"/>
      <c r="D605" s="405"/>
      <c r="E605" s="405"/>
      <c r="F605" s="405"/>
      <c r="G605" s="405"/>
      <c r="H605" s="405"/>
      <c r="I605" s="405"/>
      <c r="J605" s="405"/>
      <c r="K605" s="405"/>
      <c r="L605" s="405"/>
      <c r="M605" s="405"/>
      <c r="N605" s="405"/>
    </row>
    <row r="606" spans="3:14" x14ac:dyDescent="0.25">
      <c r="C606" s="405"/>
      <c r="D606" s="405"/>
      <c r="E606" s="405"/>
      <c r="F606" s="405"/>
      <c r="G606" s="405"/>
      <c r="H606" s="405"/>
      <c r="I606" s="405"/>
      <c r="J606" s="405"/>
      <c r="K606" s="405"/>
      <c r="L606" s="405"/>
      <c r="M606" s="405"/>
      <c r="N606" s="405"/>
    </row>
    <row r="607" spans="3:14" x14ac:dyDescent="0.25">
      <c r="C607" s="405"/>
      <c r="D607" s="405"/>
      <c r="E607" s="405"/>
      <c r="F607" s="405"/>
      <c r="G607" s="405"/>
      <c r="H607" s="405"/>
      <c r="I607" s="405"/>
      <c r="J607" s="405"/>
      <c r="K607" s="405"/>
      <c r="L607" s="405"/>
      <c r="M607" s="405"/>
      <c r="N607" s="405"/>
    </row>
    <row r="608" spans="3:14" x14ac:dyDescent="0.25">
      <c r="C608" s="405"/>
      <c r="D608" s="405"/>
      <c r="E608" s="405"/>
      <c r="F608" s="405"/>
      <c r="G608" s="405"/>
      <c r="H608" s="405"/>
      <c r="I608" s="405"/>
      <c r="J608" s="405"/>
      <c r="K608" s="405"/>
      <c r="L608" s="405"/>
      <c r="M608" s="405"/>
      <c r="N608" s="405"/>
    </row>
    <row r="609" spans="3:14" x14ac:dyDescent="0.25">
      <c r="C609" s="405"/>
      <c r="D609" s="405"/>
      <c r="E609" s="405"/>
      <c r="F609" s="405"/>
      <c r="G609" s="405"/>
      <c r="H609" s="405"/>
      <c r="I609" s="405"/>
      <c r="J609" s="405"/>
      <c r="K609" s="405"/>
      <c r="L609" s="405"/>
      <c r="M609" s="405"/>
      <c r="N609" s="405"/>
    </row>
    <row r="610" spans="3:14" x14ac:dyDescent="0.25">
      <c r="C610" s="405"/>
      <c r="D610" s="405"/>
      <c r="E610" s="405"/>
      <c r="F610" s="405"/>
      <c r="G610" s="405"/>
      <c r="H610" s="405"/>
      <c r="I610" s="405"/>
      <c r="J610" s="405"/>
      <c r="K610" s="405"/>
      <c r="L610" s="405"/>
      <c r="M610" s="405"/>
      <c r="N610" s="405"/>
    </row>
    <row r="611" spans="3:14" x14ac:dyDescent="0.25">
      <c r="C611" s="405"/>
      <c r="D611" s="405"/>
      <c r="E611" s="405"/>
      <c r="F611" s="405"/>
      <c r="G611" s="405"/>
      <c r="H611" s="405"/>
      <c r="I611" s="405"/>
      <c r="J611" s="405"/>
      <c r="K611" s="405"/>
      <c r="L611" s="405"/>
      <c r="M611" s="405"/>
      <c r="N611" s="405"/>
    </row>
    <row r="612" spans="3:14" x14ac:dyDescent="0.25">
      <c r="C612" s="405"/>
      <c r="D612" s="405"/>
      <c r="E612" s="405"/>
      <c r="F612" s="405"/>
      <c r="G612" s="405"/>
      <c r="H612" s="405"/>
      <c r="I612" s="405"/>
      <c r="J612" s="405"/>
      <c r="K612" s="405"/>
      <c r="L612" s="405"/>
      <c r="M612" s="405"/>
      <c r="N612" s="405"/>
    </row>
    <row r="613" spans="3:14" x14ac:dyDescent="0.25">
      <c r="C613" s="405"/>
      <c r="D613" s="405"/>
      <c r="E613" s="405"/>
      <c r="F613" s="405"/>
      <c r="G613" s="405"/>
      <c r="H613" s="405"/>
      <c r="I613" s="405"/>
      <c r="J613" s="405"/>
      <c r="K613" s="405"/>
      <c r="L613" s="405"/>
      <c r="M613" s="405"/>
      <c r="N613" s="405"/>
    </row>
    <row r="614" spans="3:14" x14ac:dyDescent="0.25">
      <c r="C614" s="405"/>
      <c r="D614" s="405"/>
      <c r="E614" s="405"/>
      <c r="F614" s="405"/>
      <c r="G614" s="405"/>
      <c r="H614" s="405"/>
      <c r="I614" s="405"/>
      <c r="J614" s="405"/>
      <c r="K614" s="405"/>
      <c r="L614" s="405"/>
      <c r="M614" s="405"/>
      <c r="N614" s="405"/>
    </row>
    <row r="615" spans="3:14" x14ac:dyDescent="0.25">
      <c r="C615" s="405"/>
      <c r="D615" s="405"/>
      <c r="E615" s="405"/>
      <c r="F615" s="405"/>
      <c r="G615" s="405"/>
      <c r="H615" s="405"/>
      <c r="I615" s="405"/>
      <c r="J615" s="405"/>
      <c r="K615" s="405"/>
      <c r="L615" s="405"/>
      <c r="M615" s="405"/>
      <c r="N615" s="405"/>
    </row>
    <row r="616" spans="3:14" x14ac:dyDescent="0.25">
      <c r="C616" s="405"/>
      <c r="D616" s="405"/>
      <c r="E616" s="405"/>
      <c r="F616" s="405"/>
      <c r="G616" s="405"/>
      <c r="H616" s="405"/>
      <c r="I616" s="405"/>
      <c r="J616" s="405"/>
      <c r="K616" s="405"/>
      <c r="L616" s="405"/>
      <c r="M616" s="405"/>
      <c r="N616" s="405"/>
    </row>
    <row r="617" spans="3:14" x14ac:dyDescent="0.25">
      <c r="C617" s="405"/>
      <c r="D617" s="405"/>
      <c r="E617" s="405"/>
      <c r="F617" s="405"/>
      <c r="G617" s="405"/>
      <c r="H617" s="405"/>
      <c r="I617" s="405"/>
      <c r="J617" s="405"/>
      <c r="K617" s="405"/>
      <c r="L617" s="405"/>
      <c r="M617" s="405"/>
      <c r="N617" s="405"/>
    </row>
    <row r="618" spans="3:14" x14ac:dyDescent="0.25">
      <c r="C618" s="405"/>
      <c r="D618" s="405"/>
      <c r="E618" s="405"/>
      <c r="F618" s="405"/>
      <c r="G618" s="405"/>
      <c r="H618" s="405"/>
      <c r="I618" s="405"/>
      <c r="J618" s="405"/>
      <c r="K618" s="405"/>
      <c r="L618" s="405"/>
      <c r="M618" s="405"/>
      <c r="N618" s="405"/>
    </row>
    <row r="619" spans="3:14" x14ac:dyDescent="0.25">
      <c r="C619" s="405"/>
      <c r="D619" s="405"/>
      <c r="E619" s="405"/>
      <c r="F619" s="405"/>
      <c r="G619" s="405"/>
      <c r="H619" s="405"/>
      <c r="I619" s="405"/>
      <c r="J619" s="405"/>
      <c r="K619" s="405"/>
      <c r="L619" s="405"/>
      <c r="M619" s="405"/>
      <c r="N619" s="405"/>
    </row>
    <row r="620" spans="3:14" x14ac:dyDescent="0.25">
      <c r="C620" s="405"/>
      <c r="D620" s="405"/>
      <c r="E620" s="405"/>
      <c r="F620" s="405"/>
      <c r="G620" s="405"/>
      <c r="H620" s="405"/>
      <c r="I620" s="405"/>
      <c r="J620" s="405"/>
      <c r="K620" s="405"/>
      <c r="L620" s="405"/>
      <c r="M620" s="405"/>
      <c r="N620" s="405"/>
    </row>
    <row r="621" spans="3:14" x14ac:dyDescent="0.25">
      <c r="C621" s="405"/>
      <c r="D621" s="405"/>
      <c r="E621" s="405"/>
      <c r="F621" s="405"/>
      <c r="G621" s="405"/>
      <c r="H621" s="405"/>
      <c r="I621" s="405"/>
      <c r="J621" s="405"/>
      <c r="K621" s="405"/>
      <c r="L621" s="405"/>
      <c r="M621" s="405"/>
      <c r="N621" s="405"/>
    </row>
    <row r="622" spans="3:14" x14ac:dyDescent="0.25">
      <c r="C622" s="405"/>
      <c r="D622" s="405"/>
      <c r="E622" s="405"/>
      <c r="F622" s="405"/>
      <c r="G622" s="405"/>
      <c r="H622" s="405"/>
      <c r="I622" s="405"/>
      <c r="J622" s="405"/>
      <c r="K622" s="405"/>
      <c r="L622" s="405"/>
      <c r="M622" s="405"/>
      <c r="N622" s="405"/>
    </row>
    <row r="623" spans="3:14" x14ac:dyDescent="0.25">
      <c r="C623" s="405"/>
      <c r="D623" s="405"/>
      <c r="E623" s="405"/>
      <c r="F623" s="405"/>
      <c r="G623" s="405"/>
      <c r="H623" s="405"/>
      <c r="I623" s="405"/>
      <c r="J623" s="405"/>
      <c r="K623" s="405"/>
      <c r="L623" s="405"/>
      <c r="M623" s="405"/>
      <c r="N623" s="405"/>
    </row>
    <row r="624" spans="3:14" x14ac:dyDescent="0.25">
      <c r="C624" s="405"/>
      <c r="D624" s="405"/>
      <c r="E624" s="405"/>
      <c r="F624" s="405"/>
      <c r="G624" s="405"/>
      <c r="H624" s="405"/>
      <c r="I624" s="405"/>
      <c r="J624" s="405"/>
      <c r="K624" s="405"/>
      <c r="L624" s="405"/>
      <c r="M624" s="405"/>
      <c r="N624" s="405"/>
    </row>
    <row r="625" spans="3:14" x14ac:dyDescent="0.25">
      <c r="C625" s="405"/>
      <c r="D625" s="405"/>
      <c r="E625" s="405"/>
      <c r="F625" s="405"/>
      <c r="G625" s="405"/>
      <c r="H625" s="405"/>
      <c r="I625" s="405"/>
      <c r="J625" s="405"/>
      <c r="K625" s="405"/>
      <c r="L625" s="405"/>
      <c r="M625" s="405"/>
      <c r="N625" s="405"/>
    </row>
    <row r="626" spans="3:14" x14ac:dyDescent="0.25">
      <c r="C626" s="405"/>
      <c r="D626" s="405"/>
      <c r="E626" s="405"/>
      <c r="F626" s="405"/>
      <c r="G626" s="405"/>
      <c r="H626" s="405"/>
      <c r="I626" s="405"/>
      <c r="J626" s="405"/>
      <c r="K626" s="405"/>
      <c r="L626" s="405"/>
      <c r="M626" s="405"/>
      <c r="N626" s="405"/>
    </row>
    <row r="627" spans="3:14" x14ac:dyDescent="0.25">
      <c r="C627" s="405"/>
      <c r="D627" s="405"/>
      <c r="E627" s="405"/>
      <c r="F627" s="405"/>
      <c r="G627" s="405"/>
      <c r="H627" s="405"/>
      <c r="I627" s="405"/>
      <c r="J627" s="405"/>
      <c r="K627" s="405"/>
      <c r="L627" s="405"/>
      <c r="M627" s="405"/>
      <c r="N627" s="405"/>
    </row>
    <row r="628" spans="3:14" x14ac:dyDescent="0.25">
      <c r="C628" s="405"/>
      <c r="D628" s="405"/>
      <c r="E628" s="405"/>
      <c r="F628" s="405"/>
      <c r="G628" s="405"/>
      <c r="H628" s="405"/>
      <c r="I628" s="405"/>
      <c r="J628" s="405"/>
      <c r="K628" s="405"/>
      <c r="L628" s="405"/>
      <c r="M628" s="405"/>
      <c r="N628" s="405"/>
    </row>
    <row r="629" spans="3:14" x14ac:dyDescent="0.25">
      <c r="C629" s="405"/>
      <c r="D629" s="405"/>
      <c r="E629" s="405"/>
      <c r="F629" s="405"/>
      <c r="G629" s="405"/>
      <c r="H629" s="405"/>
      <c r="I629" s="405"/>
      <c r="J629" s="405"/>
      <c r="K629" s="405"/>
      <c r="L629" s="405"/>
      <c r="M629" s="405"/>
      <c r="N629" s="405"/>
    </row>
    <row r="630" spans="3:14" x14ac:dyDescent="0.25">
      <c r="C630" s="405"/>
      <c r="D630" s="405"/>
      <c r="E630" s="405"/>
      <c r="F630" s="405"/>
      <c r="G630" s="405"/>
      <c r="H630" s="405"/>
      <c r="I630" s="405"/>
      <c r="J630" s="405"/>
      <c r="K630" s="405"/>
      <c r="L630" s="405"/>
      <c r="M630" s="405"/>
      <c r="N630" s="405"/>
    </row>
    <row r="631" spans="3:14" x14ac:dyDescent="0.25">
      <c r="C631" s="405"/>
      <c r="D631" s="405"/>
      <c r="E631" s="405"/>
      <c r="F631" s="405"/>
      <c r="G631" s="405"/>
      <c r="H631" s="405"/>
      <c r="I631" s="405"/>
      <c r="J631" s="405"/>
      <c r="K631" s="405"/>
      <c r="L631" s="405"/>
      <c r="M631" s="405"/>
      <c r="N631" s="405"/>
    </row>
    <row r="632" spans="3:14" x14ac:dyDescent="0.25">
      <c r="C632" s="405"/>
      <c r="D632" s="405"/>
      <c r="E632" s="405"/>
      <c r="F632" s="405"/>
      <c r="G632" s="405"/>
      <c r="H632" s="405"/>
      <c r="I632" s="405"/>
      <c r="J632" s="405"/>
      <c r="K632" s="405"/>
      <c r="L632" s="405"/>
      <c r="M632" s="405"/>
      <c r="N632" s="405"/>
    </row>
    <row r="633" spans="3:14" x14ac:dyDescent="0.25">
      <c r="C633" s="405"/>
      <c r="D633" s="405"/>
      <c r="E633" s="405"/>
      <c r="F633" s="405"/>
      <c r="G633" s="405"/>
      <c r="H633" s="405"/>
      <c r="I633" s="405"/>
      <c r="J633" s="405"/>
      <c r="K633" s="405"/>
      <c r="L633" s="405"/>
      <c r="M633" s="405"/>
      <c r="N633" s="405"/>
    </row>
    <row r="634" spans="3:14" x14ac:dyDescent="0.25">
      <c r="C634" s="405"/>
      <c r="D634" s="405"/>
      <c r="E634" s="405"/>
      <c r="F634" s="405"/>
      <c r="G634" s="405"/>
      <c r="H634" s="405"/>
      <c r="I634" s="405"/>
      <c r="J634" s="405"/>
      <c r="K634" s="405"/>
      <c r="L634" s="405"/>
      <c r="M634" s="405"/>
      <c r="N634" s="405"/>
    </row>
    <row r="635" spans="3:14" x14ac:dyDescent="0.25">
      <c r="C635" s="405"/>
      <c r="D635" s="405"/>
      <c r="E635" s="405"/>
      <c r="F635" s="405"/>
      <c r="G635" s="405"/>
      <c r="H635" s="405"/>
      <c r="I635" s="405"/>
      <c r="J635" s="405"/>
      <c r="K635" s="405"/>
      <c r="L635" s="405"/>
      <c r="M635" s="405"/>
      <c r="N635" s="405"/>
    </row>
    <row r="636" spans="3:14" x14ac:dyDescent="0.25">
      <c r="C636" s="405"/>
      <c r="D636" s="405"/>
      <c r="E636" s="405"/>
      <c r="F636" s="405"/>
      <c r="G636" s="405"/>
      <c r="H636" s="405"/>
      <c r="I636" s="405"/>
      <c r="J636" s="405"/>
      <c r="K636" s="405"/>
      <c r="L636" s="405"/>
      <c r="M636" s="405"/>
      <c r="N636" s="405"/>
    </row>
    <row r="637" spans="3:14" x14ac:dyDescent="0.25">
      <c r="C637" s="405"/>
      <c r="D637" s="405"/>
      <c r="E637" s="405"/>
      <c r="F637" s="405"/>
      <c r="G637" s="405"/>
      <c r="H637" s="405"/>
      <c r="I637" s="405"/>
      <c r="J637" s="405"/>
      <c r="K637" s="405"/>
      <c r="L637" s="405"/>
      <c r="M637" s="405"/>
      <c r="N637" s="405"/>
    </row>
    <row r="638" spans="3:14" x14ac:dyDescent="0.25">
      <c r="C638" s="405"/>
      <c r="D638" s="405"/>
      <c r="E638" s="405"/>
      <c r="F638" s="405"/>
      <c r="G638" s="405"/>
      <c r="H638" s="405"/>
      <c r="I638" s="405"/>
      <c r="J638" s="405"/>
      <c r="K638" s="405"/>
      <c r="L638" s="405"/>
      <c r="M638" s="405"/>
      <c r="N638" s="405"/>
    </row>
    <row r="639" spans="3:14" x14ac:dyDescent="0.25">
      <c r="C639" s="405"/>
      <c r="D639" s="405"/>
      <c r="E639" s="405"/>
      <c r="F639" s="405"/>
      <c r="G639" s="405"/>
      <c r="H639" s="405"/>
      <c r="I639" s="405"/>
      <c r="J639" s="405"/>
      <c r="K639" s="405"/>
      <c r="L639" s="405"/>
      <c r="M639" s="405"/>
      <c r="N639" s="405"/>
    </row>
    <row r="640" spans="3:14" x14ac:dyDescent="0.25">
      <c r="C640" s="405"/>
      <c r="D640" s="405"/>
      <c r="E640" s="405"/>
      <c r="F640" s="405"/>
      <c r="G640" s="405"/>
      <c r="H640" s="405"/>
      <c r="I640" s="405"/>
      <c r="J640" s="405"/>
      <c r="K640" s="405"/>
      <c r="L640" s="405"/>
      <c r="M640" s="405"/>
      <c r="N640" s="405"/>
    </row>
    <row r="641" spans="3:14" x14ac:dyDescent="0.25">
      <c r="C641" s="405"/>
      <c r="D641" s="405"/>
      <c r="E641" s="405"/>
      <c r="F641" s="405"/>
      <c r="G641" s="405"/>
      <c r="H641" s="405"/>
      <c r="I641" s="405"/>
      <c r="J641" s="405"/>
      <c r="K641" s="405"/>
      <c r="L641" s="405"/>
      <c r="M641" s="405"/>
      <c r="N641" s="405"/>
    </row>
    <row r="642" spans="3:14" x14ac:dyDescent="0.25">
      <c r="C642" s="405"/>
      <c r="D642" s="405"/>
      <c r="E642" s="405"/>
      <c r="F642" s="405"/>
      <c r="G642" s="405"/>
      <c r="H642" s="405"/>
      <c r="I642" s="405"/>
      <c r="J642" s="405"/>
      <c r="K642" s="405"/>
      <c r="L642" s="405"/>
      <c r="M642" s="405"/>
      <c r="N642" s="405"/>
    </row>
    <row r="643" spans="3:14" x14ac:dyDescent="0.25">
      <c r="C643" s="405"/>
      <c r="D643" s="405"/>
      <c r="E643" s="405"/>
      <c r="F643" s="405"/>
      <c r="G643" s="405"/>
      <c r="H643" s="405"/>
      <c r="I643" s="405"/>
      <c r="J643" s="405"/>
      <c r="K643" s="405"/>
      <c r="L643" s="405"/>
      <c r="M643" s="405"/>
      <c r="N643" s="405"/>
    </row>
    <row r="644" spans="3:14" x14ac:dyDescent="0.25">
      <c r="C644" s="405"/>
      <c r="D644" s="405"/>
      <c r="E644" s="405"/>
      <c r="F644" s="405"/>
      <c r="G644" s="405"/>
      <c r="H644" s="405"/>
      <c r="I644" s="405"/>
      <c r="J644" s="405"/>
      <c r="K644" s="405"/>
      <c r="L644" s="405"/>
      <c r="M644" s="405"/>
      <c r="N644" s="405"/>
    </row>
    <row r="645" spans="3:14" x14ac:dyDescent="0.25">
      <c r="C645" s="405"/>
      <c r="D645" s="405"/>
      <c r="E645" s="405"/>
      <c r="F645" s="405"/>
      <c r="G645" s="405"/>
      <c r="H645" s="405"/>
      <c r="I645" s="405"/>
      <c r="J645" s="405"/>
      <c r="K645" s="405"/>
      <c r="L645" s="405"/>
      <c r="M645" s="405"/>
      <c r="N645" s="405"/>
    </row>
    <row r="646" spans="3:14" x14ac:dyDescent="0.25">
      <c r="C646" s="405"/>
      <c r="D646" s="405"/>
      <c r="E646" s="405"/>
      <c r="F646" s="405"/>
      <c r="G646" s="405"/>
      <c r="H646" s="405"/>
      <c r="I646" s="405"/>
      <c r="J646" s="405"/>
      <c r="K646" s="405"/>
      <c r="L646" s="405"/>
      <c r="M646" s="405"/>
      <c r="N646" s="405"/>
    </row>
    <row r="647" spans="3:14" x14ac:dyDescent="0.25">
      <c r="C647" s="405"/>
      <c r="D647" s="405"/>
      <c r="E647" s="405"/>
      <c r="F647" s="405"/>
      <c r="G647" s="405"/>
      <c r="H647" s="405"/>
      <c r="I647" s="405"/>
      <c r="J647" s="405"/>
      <c r="K647" s="405"/>
      <c r="L647" s="405"/>
      <c r="M647" s="405"/>
      <c r="N647" s="405"/>
    </row>
    <row r="648" spans="3:14" x14ac:dyDescent="0.25">
      <c r="C648" s="405"/>
      <c r="D648" s="405"/>
      <c r="E648" s="405"/>
      <c r="F648" s="405"/>
      <c r="G648" s="405"/>
      <c r="H648" s="405"/>
      <c r="I648" s="405"/>
      <c r="J648" s="405"/>
      <c r="K648" s="405"/>
      <c r="L648" s="405"/>
      <c r="M648" s="405"/>
      <c r="N648" s="405"/>
    </row>
    <row r="649" spans="3:14" x14ac:dyDescent="0.25">
      <c r="C649" s="405"/>
      <c r="D649" s="405"/>
      <c r="E649" s="405"/>
      <c r="F649" s="405"/>
      <c r="G649" s="405"/>
      <c r="H649" s="405"/>
      <c r="I649" s="405"/>
      <c r="J649" s="405"/>
      <c r="K649" s="405"/>
      <c r="L649" s="405"/>
      <c r="M649" s="405"/>
      <c r="N649" s="405"/>
    </row>
    <row r="650" spans="3:14" x14ac:dyDescent="0.25">
      <c r="C650" s="405"/>
      <c r="D650" s="405"/>
      <c r="E650" s="405"/>
      <c r="F650" s="405"/>
      <c r="G650" s="405"/>
      <c r="H650" s="405"/>
      <c r="I650" s="405"/>
      <c r="J650" s="405"/>
      <c r="K650" s="405"/>
      <c r="L650" s="405"/>
      <c r="M650" s="405"/>
      <c r="N650" s="405"/>
    </row>
    <row r="651" spans="3:14" x14ac:dyDescent="0.25">
      <c r="C651" s="405"/>
      <c r="D651" s="405"/>
      <c r="E651" s="405"/>
      <c r="F651" s="405"/>
      <c r="G651" s="405"/>
      <c r="H651" s="405"/>
      <c r="I651" s="405"/>
      <c r="J651" s="405"/>
      <c r="K651" s="405"/>
      <c r="L651" s="405"/>
      <c r="M651" s="405"/>
      <c r="N651" s="405"/>
    </row>
    <row r="652" spans="3:14" x14ac:dyDescent="0.25">
      <c r="C652" s="405"/>
      <c r="D652" s="405"/>
      <c r="E652" s="405"/>
      <c r="F652" s="405"/>
      <c r="G652" s="405"/>
      <c r="H652" s="405"/>
      <c r="I652" s="405"/>
      <c r="J652" s="405"/>
      <c r="K652" s="405"/>
      <c r="L652" s="405"/>
      <c r="M652" s="405"/>
      <c r="N652" s="405"/>
    </row>
    <row r="653" spans="3:14" x14ac:dyDescent="0.25">
      <c r="C653" s="405"/>
      <c r="D653" s="405"/>
      <c r="E653" s="405"/>
      <c r="F653" s="405"/>
      <c r="G653" s="405"/>
      <c r="H653" s="405"/>
      <c r="I653" s="405"/>
      <c r="J653" s="405"/>
      <c r="K653" s="405"/>
      <c r="L653" s="405"/>
      <c r="M653" s="405"/>
      <c r="N653" s="405"/>
    </row>
    <row r="654" spans="3:14" x14ac:dyDescent="0.25">
      <c r="C654" s="405"/>
      <c r="D654" s="405"/>
      <c r="E654" s="405"/>
      <c r="F654" s="405"/>
      <c r="G654" s="405"/>
      <c r="H654" s="405"/>
      <c r="I654" s="405"/>
      <c r="J654" s="405"/>
      <c r="K654" s="405"/>
      <c r="L654" s="405"/>
      <c r="M654" s="405"/>
      <c r="N654" s="405"/>
    </row>
    <row r="655" spans="3:14" x14ac:dyDescent="0.25">
      <c r="C655" s="405"/>
      <c r="D655" s="405"/>
      <c r="E655" s="405"/>
      <c r="F655" s="405"/>
      <c r="G655" s="405"/>
      <c r="H655" s="405"/>
      <c r="I655" s="405"/>
      <c r="J655" s="405"/>
      <c r="K655" s="405"/>
      <c r="L655" s="405"/>
      <c r="M655" s="405"/>
      <c r="N655" s="405"/>
    </row>
    <row r="656" spans="3:14" x14ac:dyDescent="0.25">
      <c r="C656" s="405"/>
      <c r="D656" s="405"/>
      <c r="E656" s="405"/>
      <c r="F656" s="405"/>
      <c r="G656" s="405"/>
      <c r="H656" s="405"/>
      <c r="I656" s="405"/>
      <c r="J656" s="405"/>
      <c r="K656" s="405"/>
      <c r="L656" s="405"/>
      <c r="M656" s="405"/>
      <c r="N656" s="405"/>
    </row>
    <row r="657" spans="3:14" x14ac:dyDescent="0.25">
      <c r="C657" s="405"/>
      <c r="D657" s="405"/>
      <c r="E657" s="405"/>
      <c r="F657" s="405"/>
      <c r="G657" s="405"/>
      <c r="H657" s="405"/>
      <c r="I657" s="405"/>
      <c r="J657" s="405"/>
      <c r="K657" s="405"/>
      <c r="L657" s="405"/>
      <c r="M657" s="405"/>
      <c r="N657" s="405"/>
    </row>
    <row r="658" spans="3:14" x14ac:dyDescent="0.25">
      <c r="C658" s="405"/>
      <c r="D658" s="405"/>
      <c r="E658" s="405"/>
      <c r="F658" s="405"/>
      <c r="G658" s="405"/>
      <c r="H658" s="405"/>
      <c r="I658" s="405"/>
      <c r="J658" s="405"/>
      <c r="K658" s="405"/>
      <c r="L658" s="405"/>
      <c r="M658" s="405"/>
      <c r="N658" s="405"/>
    </row>
    <row r="659" spans="3:14" x14ac:dyDescent="0.25">
      <c r="C659" s="405"/>
      <c r="D659" s="405"/>
      <c r="E659" s="405"/>
      <c r="F659" s="405"/>
      <c r="G659" s="405"/>
      <c r="H659" s="405"/>
      <c r="I659" s="405"/>
      <c r="J659" s="405"/>
      <c r="K659" s="405"/>
      <c r="L659" s="405"/>
      <c r="M659" s="405"/>
      <c r="N659" s="405"/>
    </row>
    <row r="660" spans="3:14" x14ac:dyDescent="0.25">
      <c r="C660" s="405"/>
      <c r="D660" s="405"/>
      <c r="E660" s="405"/>
      <c r="F660" s="405"/>
      <c r="G660" s="405"/>
      <c r="H660" s="405"/>
      <c r="I660" s="405"/>
      <c r="J660" s="405"/>
      <c r="K660" s="405"/>
      <c r="L660" s="405"/>
      <c r="M660" s="405"/>
      <c r="N660" s="405"/>
    </row>
    <row r="661" spans="3:14" x14ac:dyDescent="0.25">
      <c r="C661" s="405"/>
      <c r="D661" s="405"/>
      <c r="E661" s="405"/>
      <c r="F661" s="405"/>
      <c r="G661" s="405"/>
      <c r="H661" s="405"/>
      <c r="I661" s="405"/>
      <c r="J661" s="405"/>
      <c r="K661" s="405"/>
      <c r="L661" s="405"/>
      <c r="M661" s="405"/>
      <c r="N661" s="405"/>
    </row>
    <row r="662" spans="3:14" x14ac:dyDescent="0.25">
      <c r="C662" s="405"/>
      <c r="D662" s="405"/>
      <c r="E662" s="405"/>
      <c r="F662" s="405"/>
      <c r="G662" s="405"/>
      <c r="H662" s="405"/>
      <c r="I662" s="405"/>
      <c r="J662" s="405"/>
      <c r="K662" s="405"/>
      <c r="L662" s="405"/>
      <c r="M662" s="405"/>
      <c r="N662" s="405"/>
    </row>
    <row r="663" spans="3:14" x14ac:dyDescent="0.25">
      <c r="C663" s="405"/>
      <c r="D663" s="405"/>
      <c r="E663" s="405"/>
      <c r="F663" s="405"/>
      <c r="G663" s="405"/>
      <c r="H663" s="405"/>
      <c r="I663" s="405"/>
      <c r="J663" s="405"/>
      <c r="K663" s="405"/>
      <c r="L663" s="405"/>
      <c r="M663" s="405"/>
      <c r="N663" s="405"/>
    </row>
    <row r="664" spans="3:14" x14ac:dyDescent="0.25">
      <c r="C664" s="405"/>
      <c r="D664" s="405"/>
      <c r="E664" s="405"/>
      <c r="F664" s="405"/>
      <c r="G664" s="405"/>
      <c r="H664" s="405"/>
      <c r="I664" s="405"/>
      <c r="J664" s="405"/>
      <c r="K664" s="405"/>
      <c r="L664" s="405"/>
      <c r="M664" s="405"/>
      <c r="N664" s="405"/>
    </row>
    <row r="665" spans="3:14" x14ac:dyDescent="0.25">
      <c r="C665" s="405"/>
      <c r="D665" s="405"/>
      <c r="E665" s="405"/>
      <c r="F665" s="405"/>
      <c r="G665" s="405"/>
      <c r="H665" s="405"/>
      <c r="I665" s="405"/>
      <c r="J665" s="405"/>
      <c r="K665" s="405"/>
      <c r="L665" s="405"/>
      <c r="M665" s="405"/>
      <c r="N665" s="405"/>
    </row>
    <row r="666" spans="3:14" x14ac:dyDescent="0.25">
      <c r="C666" s="405"/>
      <c r="D666" s="405"/>
      <c r="E666" s="405"/>
      <c r="F666" s="405"/>
      <c r="G666" s="405"/>
      <c r="H666" s="405"/>
      <c r="I666" s="405"/>
      <c r="J666" s="405"/>
      <c r="K666" s="405"/>
      <c r="L666" s="405"/>
      <c r="M666" s="405"/>
      <c r="N666" s="405"/>
    </row>
    <row r="667" spans="3:14" x14ac:dyDescent="0.25">
      <c r="C667" s="405"/>
      <c r="D667" s="405"/>
      <c r="E667" s="405"/>
      <c r="F667" s="405"/>
      <c r="G667" s="405"/>
      <c r="H667" s="405"/>
      <c r="I667" s="405"/>
      <c r="J667" s="405"/>
      <c r="K667" s="405"/>
      <c r="L667" s="405"/>
      <c r="M667" s="405"/>
      <c r="N667" s="405"/>
    </row>
    <row r="668" spans="3:14" x14ac:dyDescent="0.25">
      <c r="C668" s="405"/>
      <c r="D668" s="405"/>
      <c r="E668" s="405"/>
      <c r="F668" s="405"/>
      <c r="G668" s="405"/>
      <c r="H668" s="405"/>
      <c r="I668" s="405"/>
      <c r="J668" s="405"/>
      <c r="K668" s="405"/>
      <c r="L668" s="405"/>
      <c r="M668" s="405"/>
      <c r="N668" s="405"/>
    </row>
    <row r="669" spans="3:14" x14ac:dyDescent="0.25">
      <c r="C669" s="405"/>
      <c r="D669" s="405"/>
      <c r="E669" s="405"/>
      <c r="F669" s="405"/>
      <c r="G669" s="405"/>
      <c r="H669" s="405"/>
      <c r="I669" s="405"/>
      <c r="J669" s="405"/>
      <c r="K669" s="405"/>
      <c r="L669" s="405"/>
      <c r="M669" s="405"/>
      <c r="N669" s="405"/>
    </row>
    <row r="670" spans="3:14" x14ac:dyDescent="0.25">
      <c r="C670" s="405"/>
      <c r="D670" s="405"/>
      <c r="E670" s="405"/>
      <c r="F670" s="405"/>
      <c r="G670" s="405"/>
      <c r="H670" s="405"/>
      <c r="I670" s="405"/>
      <c r="J670" s="405"/>
      <c r="K670" s="405"/>
      <c r="L670" s="405"/>
      <c r="M670" s="405"/>
      <c r="N670" s="405"/>
    </row>
    <row r="671" spans="3:14" x14ac:dyDescent="0.25">
      <c r="C671" s="405"/>
      <c r="D671" s="405"/>
      <c r="E671" s="405"/>
      <c r="F671" s="405"/>
      <c r="G671" s="405"/>
      <c r="H671" s="405"/>
      <c r="I671" s="405"/>
      <c r="J671" s="405"/>
      <c r="K671" s="405"/>
      <c r="L671" s="405"/>
      <c r="M671" s="405"/>
      <c r="N671" s="405"/>
    </row>
    <row r="672" spans="3:14" x14ac:dyDescent="0.25">
      <c r="C672" s="405"/>
      <c r="D672" s="405"/>
      <c r="E672" s="405"/>
      <c r="F672" s="405"/>
      <c r="G672" s="405"/>
      <c r="H672" s="405"/>
      <c r="I672" s="405"/>
      <c r="J672" s="405"/>
      <c r="K672" s="405"/>
      <c r="L672" s="405"/>
      <c r="M672" s="405"/>
      <c r="N672" s="405"/>
    </row>
    <row r="673" spans="3:14" x14ac:dyDescent="0.25">
      <c r="C673" s="405"/>
      <c r="D673" s="405"/>
      <c r="E673" s="405"/>
      <c r="F673" s="405"/>
      <c r="G673" s="405"/>
      <c r="H673" s="405"/>
      <c r="I673" s="405"/>
      <c r="J673" s="405"/>
      <c r="K673" s="405"/>
      <c r="L673" s="405"/>
      <c r="M673" s="405"/>
      <c r="N673" s="405"/>
    </row>
    <row r="674" spans="3:14" x14ac:dyDescent="0.25">
      <c r="C674" s="405"/>
      <c r="D674" s="405"/>
      <c r="E674" s="405"/>
      <c r="F674" s="405"/>
      <c r="G674" s="405"/>
      <c r="H674" s="405"/>
      <c r="I674" s="405"/>
      <c r="J674" s="405"/>
      <c r="K674" s="405"/>
      <c r="L674" s="405"/>
      <c r="M674" s="405"/>
      <c r="N674" s="405"/>
    </row>
    <row r="675" spans="3:14" x14ac:dyDescent="0.25">
      <c r="C675" s="405"/>
      <c r="D675" s="405"/>
      <c r="E675" s="405"/>
      <c r="F675" s="405"/>
      <c r="G675" s="405"/>
      <c r="H675" s="405"/>
      <c r="I675" s="405"/>
      <c r="J675" s="405"/>
      <c r="K675" s="405"/>
      <c r="L675" s="405"/>
      <c r="M675" s="405"/>
      <c r="N675" s="405"/>
    </row>
    <row r="676" spans="3:14" x14ac:dyDescent="0.25">
      <c r="C676" s="405"/>
      <c r="D676" s="405"/>
      <c r="E676" s="405"/>
      <c r="F676" s="405"/>
      <c r="G676" s="405"/>
      <c r="H676" s="405"/>
      <c r="I676" s="405"/>
      <c r="J676" s="405"/>
      <c r="K676" s="405"/>
      <c r="L676" s="405"/>
      <c r="M676" s="405"/>
      <c r="N676" s="405"/>
    </row>
    <row r="677" spans="3:14" x14ac:dyDescent="0.25">
      <c r="C677" s="405"/>
      <c r="D677" s="405"/>
      <c r="E677" s="405"/>
      <c r="F677" s="405"/>
      <c r="G677" s="405"/>
      <c r="H677" s="405"/>
      <c r="I677" s="405"/>
      <c r="J677" s="405"/>
      <c r="K677" s="405"/>
      <c r="L677" s="405"/>
      <c r="M677" s="405"/>
      <c r="N677" s="405"/>
    </row>
    <row r="678" spans="3:14" x14ac:dyDescent="0.25">
      <c r="C678" s="405"/>
      <c r="D678" s="405"/>
      <c r="E678" s="405"/>
      <c r="F678" s="405"/>
      <c r="G678" s="405"/>
      <c r="H678" s="405"/>
      <c r="I678" s="405"/>
      <c r="J678" s="405"/>
      <c r="K678" s="405"/>
      <c r="L678" s="405"/>
      <c r="M678" s="405"/>
      <c r="N678" s="405"/>
    </row>
    <row r="679" spans="3:14" x14ac:dyDescent="0.25">
      <c r="C679" s="405"/>
      <c r="D679" s="405"/>
      <c r="E679" s="405"/>
      <c r="F679" s="405"/>
      <c r="G679" s="405"/>
      <c r="H679" s="405"/>
      <c r="I679" s="405"/>
      <c r="J679" s="405"/>
      <c r="K679" s="405"/>
      <c r="L679" s="405"/>
      <c r="M679" s="405"/>
      <c r="N679" s="405"/>
    </row>
    <row r="680" spans="3:14" x14ac:dyDescent="0.25">
      <c r="C680" s="405"/>
      <c r="D680" s="405"/>
      <c r="E680" s="405"/>
      <c r="F680" s="405"/>
      <c r="G680" s="405"/>
      <c r="H680" s="405"/>
      <c r="I680" s="405"/>
      <c r="J680" s="405"/>
      <c r="K680" s="405"/>
      <c r="L680" s="405"/>
      <c r="M680" s="405"/>
      <c r="N680" s="405"/>
    </row>
    <row r="681" spans="3:14" x14ac:dyDescent="0.25">
      <c r="C681" s="405"/>
      <c r="D681" s="405"/>
      <c r="E681" s="405"/>
      <c r="F681" s="405"/>
      <c r="G681" s="405"/>
      <c r="H681" s="405"/>
      <c r="I681" s="405"/>
      <c r="J681" s="405"/>
      <c r="K681" s="405"/>
      <c r="L681" s="405"/>
      <c r="M681" s="405"/>
      <c r="N681" s="405"/>
    </row>
    <row r="682" spans="3:14" x14ac:dyDescent="0.25">
      <c r="C682" s="405"/>
      <c r="D682" s="405"/>
      <c r="E682" s="405"/>
      <c r="F682" s="405"/>
      <c r="G682" s="405"/>
      <c r="H682" s="405"/>
      <c r="I682" s="405"/>
      <c r="J682" s="405"/>
      <c r="K682" s="405"/>
      <c r="L682" s="405"/>
      <c r="M682" s="405"/>
      <c r="N682" s="405"/>
    </row>
    <row r="683" spans="3:14" x14ac:dyDescent="0.25">
      <c r="C683" s="405"/>
      <c r="D683" s="405"/>
      <c r="E683" s="405"/>
      <c r="F683" s="405"/>
      <c r="G683" s="405"/>
      <c r="H683" s="405"/>
      <c r="I683" s="405"/>
      <c r="J683" s="405"/>
      <c r="K683" s="405"/>
      <c r="L683" s="405"/>
      <c r="M683" s="405"/>
      <c r="N683" s="405"/>
    </row>
    <row r="684" spans="3:14" x14ac:dyDescent="0.25">
      <c r="C684" s="405"/>
      <c r="D684" s="405"/>
      <c r="E684" s="405"/>
      <c r="F684" s="405"/>
      <c r="G684" s="405"/>
      <c r="H684" s="405"/>
      <c r="I684" s="405"/>
      <c r="J684" s="405"/>
      <c r="K684" s="405"/>
      <c r="L684" s="405"/>
      <c r="M684" s="405"/>
      <c r="N684" s="405"/>
    </row>
    <row r="685" spans="3:14" x14ac:dyDescent="0.25">
      <c r="C685" s="405"/>
      <c r="D685" s="405"/>
      <c r="E685" s="405"/>
      <c r="F685" s="405"/>
      <c r="G685" s="405"/>
      <c r="H685" s="405"/>
      <c r="I685" s="405"/>
      <c r="J685" s="405"/>
      <c r="K685" s="405"/>
      <c r="L685" s="405"/>
      <c r="M685" s="405"/>
      <c r="N685" s="405"/>
    </row>
    <row r="686" spans="3:14" x14ac:dyDescent="0.25">
      <c r="C686" s="405"/>
      <c r="D686" s="405"/>
      <c r="E686" s="405"/>
      <c r="F686" s="405"/>
      <c r="G686" s="405"/>
      <c r="H686" s="405"/>
      <c r="I686" s="405"/>
      <c r="J686" s="405"/>
      <c r="K686" s="405"/>
      <c r="L686" s="405"/>
      <c r="M686" s="405"/>
      <c r="N686" s="405"/>
    </row>
    <row r="687" spans="3:14" x14ac:dyDescent="0.25">
      <c r="C687" s="405"/>
      <c r="D687" s="405"/>
      <c r="E687" s="405"/>
      <c r="F687" s="405"/>
      <c r="G687" s="405"/>
      <c r="H687" s="405"/>
      <c r="I687" s="405"/>
      <c r="J687" s="405"/>
      <c r="K687" s="405"/>
      <c r="L687" s="405"/>
      <c r="M687" s="405"/>
      <c r="N687" s="405"/>
    </row>
    <row r="688" spans="3:14" x14ac:dyDescent="0.25">
      <c r="C688" s="405"/>
      <c r="D688" s="405"/>
      <c r="E688" s="405"/>
      <c r="F688" s="405"/>
      <c r="G688" s="405"/>
      <c r="H688" s="405"/>
      <c r="I688" s="405"/>
      <c r="J688" s="405"/>
      <c r="K688" s="405"/>
      <c r="L688" s="405"/>
      <c r="M688" s="405"/>
      <c r="N688" s="405"/>
    </row>
    <row r="689" spans="3:14" x14ac:dyDescent="0.25">
      <c r="C689" s="405"/>
      <c r="D689" s="405"/>
      <c r="E689" s="405"/>
      <c r="F689" s="405"/>
      <c r="G689" s="405"/>
      <c r="H689" s="405"/>
      <c r="I689" s="405"/>
      <c r="J689" s="405"/>
      <c r="K689" s="405"/>
      <c r="L689" s="405"/>
      <c r="M689" s="405"/>
      <c r="N689" s="405"/>
    </row>
    <row r="690" spans="3:14" x14ac:dyDescent="0.25">
      <c r="C690" s="405"/>
      <c r="D690" s="405"/>
      <c r="E690" s="405"/>
      <c r="F690" s="405"/>
      <c r="G690" s="405"/>
      <c r="H690" s="405"/>
      <c r="I690" s="405"/>
      <c r="J690" s="405"/>
      <c r="K690" s="405"/>
      <c r="L690" s="405"/>
      <c r="M690" s="405"/>
      <c r="N690" s="405"/>
    </row>
    <row r="691" spans="3:14" x14ac:dyDescent="0.25">
      <c r="C691" s="405"/>
      <c r="D691" s="405"/>
      <c r="E691" s="405"/>
      <c r="F691" s="405"/>
      <c r="G691" s="405"/>
      <c r="H691" s="405"/>
      <c r="I691" s="405"/>
      <c r="J691" s="405"/>
      <c r="K691" s="405"/>
      <c r="L691" s="405"/>
      <c r="M691" s="405"/>
      <c r="N691" s="405"/>
    </row>
    <row r="692" spans="3:14" x14ac:dyDescent="0.25">
      <c r="C692" s="405"/>
      <c r="D692" s="405"/>
      <c r="E692" s="405"/>
      <c r="F692" s="405"/>
      <c r="G692" s="405"/>
      <c r="H692" s="405"/>
      <c r="I692" s="405"/>
      <c r="J692" s="405"/>
      <c r="K692" s="405"/>
      <c r="L692" s="405"/>
      <c r="M692" s="405"/>
      <c r="N692" s="405"/>
    </row>
    <row r="693" spans="3:14" x14ac:dyDescent="0.25">
      <c r="C693" s="405"/>
      <c r="D693" s="405"/>
      <c r="E693" s="405"/>
      <c r="F693" s="405"/>
      <c r="G693" s="405"/>
      <c r="H693" s="405"/>
      <c r="I693" s="405"/>
      <c r="J693" s="405"/>
      <c r="K693" s="405"/>
      <c r="L693" s="405"/>
      <c r="M693" s="405"/>
      <c r="N693" s="405"/>
    </row>
    <row r="694" spans="3:14" x14ac:dyDescent="0.25">
      <c r="C694" s="405"/>
      <c r="D694" s="405"/>
      <c r="E694" s="405"/>
      <c r="F694" s="405"/>
      <c r="G694" s="405"/>
      <c r="H694" s="405"/>
      <c r="I694" s="405"/>
      <c r="J694" s="405"/>
      <c r="K694" s="405"/>
      <c r="L694" s="405"/>
      <c r="M694" s="405"/>
      <c r="N694" s="405"/>
    </row>
    <row r="695" spans="3:14" x14ac:dyDescent="0.25">
      <c r="C695" s="405"/>
      <c r="D695" s="405"/>
      <c r="E695" s="405"/>
      <c r="F695" s="405"/>
      <c r="G695" s="405"/>
      <c r="H695" s="405"/>
      <c r="I695" s="405"/>
      <c r="J695" s="405"/>
      <c r="K695" s="405"/>
      <c r="L695" s="405"/>
      <c r="M695" s="405"/>
      <c r="N695" s="405"/>
    </row>
    <row r="696" spans="3:14" x14ac:dyDescent="0.25">
      <c r="C696" s="405"/>
      <c r="D696" s="405"/>
      <c r="E696" s="405"/>
      <c r="F696" s="405"/>
      <c r="G696" s="405"/>
      <c r="H696" s="405"/>
      <c r="I696" s="405"/>
      <c r="J696" s="405"/>
      <c r="K696" s="405"/>
      <c r="L696" s="405"/>
      <c r="M696" s="405"/>
      <c r="N696" s="405"/>
    </row>
    <row r="697" spans="3:14" x14ac:dyDescent="0.25">
      <c r="C697" s="405"/>
      <c r="D697" s="405"/>
      <c r="E697" s="405"/>
      <c r="F697" s="405"/>
      <c r="G697" s="405"/>
      <c r="H697" s="405"/>
      <c r="I697" s="405"/>
      <c r="J697" s="405"/>
      <c r="K697" s="405"/>
      <c r="L697" s="405"/>
      <c r="M697" s="405"/>
      <c r="N697" s="405"/>
    </row>
    <row r="698" spans="3:14" x14ac:dyDescent="0.25">
      <c r="C698" s="405"/>
      <c r="D698" s="405"/>
      <c r="E698" s="405"/>
      <c r="F698" s="405"/>
      <c r="G698" s="405"/>
      <c r="H698" s="405"/>
      <c r="I698" s="405"/>
      <c r="J698" s="405"/>
      <c r="K698" s="405"/>
      <c r="L698" s="405"/>
      <c r="M698" s="405"/>
      <c r="N698" s="405"/>
    </row>
    <row r="699" spans="3:14" x14ac:dyDescent="0.25">
      <c r="C699" s="405"/>
      <c r="D699" s="405"/>
      <c r="E699" s="405"/>
      <c r="F699" s="405"/>
      <c r="G699" s="405"/>
      <c r="H699" s="405"/>
      <c r="I699" s="405"/>
      <c r="J699" s="405"/>
      <c r="K699" s="405"/>
      <c r="L699" s="405"/>
      <c r="M699" s="405"/>
      <c r="N699" s="405"/>
    </row>
    <row r="700" spans="3:14" x14ac:dyDescent="0.25">
      <c r="C700" s="405"/>
      <c r="D700" s="405"/>
      <c r="E700" s="405"/>
      <c r="F700" s="405"/>
      <c r="G700" s="405"/>
      <c r="H700" s="405"/>
      <c r="I700" s="405"/>
      <c r="J700" s="405"/>
      <c r="K700" s="405"/>
      <c r="L700" s="405"/>
      <c r="M700" s="405"/>
      <c r="N700" s="405"/>
    </row>
    <row r="701" spans="3:14" x14ac:dyDescent="0.25">
      <c r="C701" s="405"/>
      <c r="D701" s="405"/>
      <c r="E701" s="405"/>
      <c r="F701" s="405"/>
      <c r="G701" s="405"/>
      <c r="H701" s="405"/>
      <c r="I701" s="405"/>
      <c r="J701" s="405"/>
      <c r="K701" s="405"/>
      <c r="L701" s="405"/>
      <c r="M701" s="405"/>
      <c r="N701" s="405"/>
    </row>
    <row r="702" spans="3:14" x14ac:dyDescent="0.25">
      <c r="C702" s="405"/>
      <c r="D702" s="405"/>
      <c r="E702" s="405"/>
      <c r="F702" s="405"/>
      <c r="G702" s="405"/>
      <c r="H702" s="405"/>
      <c r="I702" s="405"/>
      <c r="J702" s="405"/>
      <c r="K702" s="405"/>
      <c r="L702" s="405"/>
      <c r="M702" s="405"/>
      <c r="N702" s="405"/>
    </row>
    <row r="703" spans="3:14" x14ac:dyDescent="0.25">
      <c r="C703" s="405"/>
      <c r="D703" s="405"/>
      <c r="E703" s="405"/>
      <c r="F703" s="405"/>
      <c r="G703" s="405"/>
      <c r="H703" s="405"/>
      <c r="I703" s="405"/>
      <c r="J703" s="405"/>
      <c r="K703" s="405"/>
      <c r="L703" s="405"/>
      <c r="M703" s="405"/>
      <c r="N703" s="405"/>
    </row>
    <row r="704" spans="3:14" x14ac:dyDescent="0.25">
      <c r="C704" s="405"/>
      <c r="D704" s="405"/>
      <c r="E704" s="405"/>
      <c r="F704" s="405"/>
      <c r="G704" s="405"/>
      <c r="H704" s="405"/>
      <c r="I704" s="405"/>
      <c r="J704" s="405"/>
      <c r="K704" s="405"/>
      <c r="L704" s="405"/>
      <c r="M704" s="405"/>
      <c r="N704" s="405"/>
    </row>
    <row r="705" spans="3:14" x14ac:dyDescent="0.25">
      <c r="C705" s="405"/>
      <c r="D705" s="405"/>
      <c r="E705" s="405"/>
      <c r="F705" s="405"/>
      <c r="G705" s="405"/>
      <c r="H705" s="405"/>
      <c r="I705" s="405"/>
      <c r="J705" s="405"/>
      <c r="K705" s="405"/>
      <c r="L705" s="405"/>
      <c r="M705" s="405"/>
      <c r="N705" s="405"/>
    </row>
    <row r="706" spans="3:14" x14ac:dyDescent="0.25">
      <c r="C706" s="405"/>
      <c r="D706" s="405"/>
      <c r="E706" s="405"/>
      <c r="F706" s="405"/>
      <c r="G706" s="405"/>
      <c r="H706" s="405"/>
      <c r="I706" s="405"/>
      <c r="J706" s="405"/>
      <c r="K706" s="405"/>
      <c r="L706" s="405"/>
      <c r="M706" s="405"/>
      <c r="N706" s="405"/>
    </row>
    <row r="707" spans="3:14" x14ac:dyDescent="0.25">
      <c r="C707" s="405"/>
      <c r="D707" s="405"/>
      <c r="E707" s="405"/>
      <c r="F707" s="405"/>
      <c r="G707" s="405"/>
      <c r="H707" s="405"/>
      <c r="I707" s="405"/>
      <c r="J707" s="405"/>
      <c r="K707" s="405"/>
      <c r="L707" s="405"/>
      <c r="M707" s="405"/>
      <c r="N707" s="405"/>
    </row>
    <row r="708" spans="3:14" x14ac:dyDescent="0.25">
      <c r="C708" s="405"/>
      <c r="D708" s="405"/>
      <c r="E708" s="405"/>
      <c r="F708" s="405"/>
      <c r="G708" s="405"/>
      <c r="H708" s="405"/>
      <c r="I708" s="405"/>
      <c r="J708" s="405"/>
      <c r="K708" s="405"/>
      <c r="L708" s="405"/>
      <c r="M708" s="405"/>
      <c r="N708" s="405"/>
    </row>
    <row r="709" spans="3:14" x14ac:dyDescent="0.25">
      <c r="C709" s="405"/>
      <c r="D709" s="405"/>
      <c r="E709" s="405"/>
      <c r="F709" s="405"/>
      <c r="G709" s="405"/>
      <c r="H709" s="405"/>
      <c r="I709" s="405"/>
      <c r="J709" s="405"/>
      <c r="K709" s="405"/>
      <c r="L709" s="405"/>
      <c r="M709" s="405"/>
      <c r="N709" s="405"/>
    </row>
    <row r="710" spans="3:14" x14ac:dyDescent="0.25">
      <c r="C710" s="405"/>
      <c r="D710" s="405"/>
      <c r="E710" s="405"/>
      <c r="F710" s="405"/>
      <c r="G710" s="405"/>
      <c r="H710" s="405"/>
      <c r="I710" s="405"/>
      <c r="J710" s="405"/>
      <c r="K710" s="405"/>
      <c r="L710" s="405"/>
      <c r="M710" s="405"/>
      <c r="N710" s="405"/>
    </row>
    <row r="711" spans="3:14" x14ac:dyDescent="0.25">
      <c r="C711" s="405"/>
      <c r="D711" s="405"/>
      <c r="E711" s="405"/>
      <c r="F711" s="405"/>
      <c r="G711" s="405"/>
      <c r="H711" s="405"/>
      <c r="I711" s="405"/>
      <c r="J711" s="405"/>
      <c r="K711" s="405"/>
      <c r="L711" s="405"/>
      <c r="M711" s="405"/>
      <c r="N711" s="405"/>
    </row>
    <row r="712" spans="3:14" x14ac:dyDescent="0.25">
      <c r="C712" s="405"/>
      <c r="D712" s="405"/>
      <c r="E712" s="405"/>
      <c r="F712" s="405"/>
      <c r="G712" s="405"/>
      <c r="H712" s="405"/>
      <c r="I712" s="405"/>
      <c r="J712" s="405"/>
      <c r="K712" s="405"/>
      <c r="L712" s="405"/>
      <c r="M712" s="405"/>
      <c r="N712" s="405"/>
    </row>
    <row r="713" spans="3:14" x14ac:dyDescent="0.25">
      <c r="C713" s="405"/>
      <c r="D713" s="405"/>
      <c r="E713" s="405"/>
      <c r="F713" s="405"/>
      <c r="G713" s="405"/>
      <c r="H713" s="405"/>
      <c r="I713" s="405"/>
      <c r="J713" s="405"/>
      <c r="K713" s="405"/>
      <c r="L713" s="405"/>
      <c r="M713" s="405"/>
      <c r="N713" s="405"/>
    </row>
    <row r="714" spans="3:14" x14ac:dyDescent="0.25">
      <c r="C714" s="405"/>
      <c r="D714" s="405"/>
      <c r="E714" s="405"/>
      <c r="F714" s="405"/>
      <c r="G714" s="405"/>
      <c r="H714" s="405"/>
      <c r="I714" s="405"/>
      <c r="J714" s="405"/>
      <c r="K714" s="405"/>
      <c r="L714" s="405"/>
      <c r="M714" s="405"/>
      <c r="N714" s="405"/>
    </row>
    <row r="715" spans="3:14" x14ac:dyDescent="0.25">
      <c r="C715" s="405"/>
      <c r="D715" s="405"/>
      <c r="E715" s="405"/>
      <c r="F715" s="405"/>
      <c r="G715" s="405"/>
      <c r="H715" s="405"/>
      <c r="I715" s="405"/>
      <c r="J715" s="405"/>
      <c r="K715" s="405"/>
      <c r="L715" s="405"/>
      <c r="M715" s="405"/>
      <c r="N715" s="405"/>
    </row>
    <row r="716" spans="3:14" x14ac:dyDescent="0.25">
      <c r="C716" s="405"/>
      <c r="D716" s="405"/>
      <c r="E716" s="405"/>
      <c r="F716" s="405"/>
      <c r="G716" s="405"/>
      <c r="H716" s="405"/>
      <c r="I716" s="405"/>
      <c r="J716" s="405"/>
      <c r="K716" s="405"/>
      <c r="L716" s="405"/>
      <c r="M716" s="405"/>
      <c r="N716" s="405"/>
    </row>
    <row r="717" spans="3:14" x14ac:dyDescent="0.25">
      <c r="C717" s="405"/>
      <c r="D717" s="405"/>
      <c r="E717" s="405"/>
      <c r="F717" s="405"/>
      <c r="G717" s="405"/>
      <c r="H717" s="405"/>
      <c r="I717" s="405"/>
      <c r="J717" s="405"/>
      <c r="K717" s="405"/>
      <c r="L717" s="405"/>
      <c r="M717" s="405"/>
      <c r="N717" s="405"/>
    </row>
    <row r="718" spans="3:14" x14ac:dyDescent="0.25">
      <c r="C718" s="405"/>
      <c r="D718" s="405"/>
      <c r="E718" s="405"/>
      <c r="F718" s="405"/>
      <c r="G718" s="405"/>
      <c r="H718" s="405"/>
      <c r="I718" s="405"/>
      <c r="J718" s="405"/>
      <c r="K718" s="405"/>
      <c r="L718" s="405"/>
      <c r="M718" s="405"/>
      <c r="N718" s="405"/>
    </row>
    <row r="719" spans="3:14" x14ac:dyDescent="0.25">
      <c r="C719" s="405"/>
      <c r="D719" s="405"/>
      <c r="E719" s="405"/>
      <c r="F719" s="405"/>
      <c r="G719" s="405"/>
      <c r="H719" s="405"/>
      <c r="I719" s="405"/>
      <c r="J719" s="405"/>
      <c r="K719" s="405"/>
      <c r="L719" s="405"/>
      <c r="M719" s="405"/>
      <c r="N719" s="405"/>
    </row>
    <row r="720" spans="3:14" x14ac:dyDescent="0.25">
      <c r="C720" s="405"/>
      <c r="D720" s="405"/>
      <c r="E720" s="405"/>
      <c r="F720" s="405"/>
      <c r="G720" s="405"/>
      <c r="H720" s="405"/>
      <c r="I720" s="405"/>
      <c r="J720" s="405"/>
      <c r="K720" s="405"/>
      <c r="L720" s="405"/>
      <c r="M720" s="405"/>
      <c r="N720" s="405"/>
    </row>
    <row r="721" spans="3:14" x14ac:dyDescent="0.25">
      <c r="C721" s="405"/>
      <c r="D721" s="405"/>
      <c r="E721" s="405"/>
      <c r="F721" s="405"/>
      <c r="G721" s="405"/>
      <c r="H721" s="405"/>
      <c r="I721" s="405"/>
      <c r="J721" s="405"/>
      <c r="K721" s="405"/>
      <c r="L721" s="405"/>
      <c r="M721" s="405"/>
      <c r="N721" s="405"/>
    </row>
    <row r="722" spans="3:14" x14ac:dyDescent="0.25">
      <c r="C722" s="405"/>
      <c r="D722" s="405"/>
      <c r="E722" s="405"/>
      <c r="F722" s="405"/>
      <c r="G722" s="405"/>
      <c r="H722" s="405"/>
      <c r="I722" s="405"/>
      <c r="J722" s="405"/>
      <c r="K722" s="405"/>
      <c r="L722" s="405"/>
      <c r="M722" s="405"/>
      <c r="N722" s="405"/>
    </row>
    <row r="723" spans="3:14" x14ac:dyDescent="0.25">
      <c r="C723" s="405"/>
      <c r="D723" s="405"/>
      <c r="E723" s="405"/>
      <c r="F723" s="405"/>
      <c r="G723" s="405"/>
      <c r="H723" s="405"/>
      <c r="I723" s="405"/>
      <c r="J723" s="405"/>
      <c r="K723" s="405"/>
      <c r="L723" s="405"/>
      <c r="M723" s="405"/>
      <c r="N723" s="405"/>
    </row>
    <row r="724" spans="3:14" x14ac:dyDescent="0.25">
      <c r="C724" s="405"/>
      <c r="D724" s="405"/>
      <c r="E724" s="405"/>
      <c r="F724" s="405"/>
      <c r="G724" s="405"/>
      <c r="H724" s="405"/>
      <c r="I724" s="405"/>
      <c r="J724" s="405"/>
      <c r="K724" s="405"/>
      <c r="L724" s="405"/>
      <c r="M724" s="405"/>
      <c r="N724" s="405"/>
    </row>
    <row r="725" spans="3:14" x14ac:dyDescent="0.25">
      <c r="C725" s="405"/>
      <c r="D725" s="405"/>
      <c r="E725" s="405"/>
      <c r="F725" s="405"/>
      <c r="G725" s="405"/>
      <c r="H725" s="405"/>
      <c r="I725" s="405"/>
      <c r="J725" s="405"/>
      <c r="K725" s="405"/>
      <c r="L725" s="405"/>
      <c r="M725" s="405"/>
      <c r="N725" s="405"/>
    </row>
    <row r="726" spans="3:14" x14ac:dyDescent="0.25">
      <c r="C726" s="405"/>
      <c r="D726" s="405"/>
      <c r="E726" s="405"/>
      <c r="F726" s="405"/>
      <c r="G726" s="405"/>
      <c r="H726" s="405"/>
      <c r="I726" s="405"/>
      <c r="J726" s="405"/>
      <c r="K726" s="405"/>
      <c r="L726" s="405"/>
      <c r="M726" s="405"/>
      <c r="N726" s="405"/>
    </row>
    <row r="727" spans="3:14" x14ac:dyDescent="0.25">
      <c r="C727" s="405"/>
      <c r="D727" s="405"/>
      <c r="E727" s="405"/>
      <c r="F727" s="405"/>
      <c r="G727" s="405"/>
      <c r="H727" s="405"/>
      <c r="I727" s="405"/>
      <c r="J727" s="405"/>
      <c r="K727" s="405"/>
      <c r="L727" s="405"/>
      <c r="M727" s="405"/>
      <c r="N727" s="405"/>
    </row>
    <row r="728" spans="3:14" x14ac:dyDescent="0.25">
      <c r="C728" s="405"/>
      <c r="D728" s="405"/>
      <c r="E728" s="405"/>
      <c r="F728" s="405"/>
      <c r="G728" s="405"/>
      <c r="H728" s="405"/>
      <c r="I728" s="405"/>
      <c r="J728" s="405"/>
      <c r="K728" s="405"/>
      <c r="L728" s="405"/>
      <c r="M728" s="405"/>
      <c r="N728" s="405"/>
    </row>
    <row r="729" spans="3:14" x14ac:dyDescent="0.25">
      <c r="C729" s="405"/>
      <c r="D729" s="405"/>
      <c r="E729" s="405"/>
      <c r="F729" s="405"/>
      <c r="G729" s="405"/>
      <c r="H729" s="405"/>
      <c r="I729" s="405"/>
      <c r="J729" s="405"/>
      <c r="K729" s="405"/>
      <c r="L729" s="405"/>
      <c r="M729" s="405"/>
      <c r="N729" s="405"/>
    </row>
    <row r="730" spans="3:14" x14ac:dyDescent="0.25">
      <c r="C730" s="405"/>
      <c r="D730" s="405"/>
      <c r="E730" s="405"/>
      <c r="F730" s="405"/>
      <c r="G730" s="405"/>
      <c r="H730" s="405"/>
      <c r="I730" s="405"/>
      <c r="J730" s="405"/>
      <c r="K730" s="405"/>
      <c r="L730" s="405"/>
      <c r="M730" s="405"/>
      <c r="N730" s="405"/>
    </row>
    <row r="731" spans="3:14" x14ac:dyDescent="0.25">
      <c r="C731" s="405"/>
      <c r="D731" s="405"/>
      <c r="E731" s="405"/>
      <c r="F731" s="405"/>
      <c r="G731" s="405"/>
      <c r="H731" s="405"/>
      <c r="I731" s="405"/>
      <c r="J731" s="405"/>
      <c r="K731" s="405"/>
      <c r="L731" s="405"/>
      <c r="M731" s="405"/>
      <c r="N731" s="405"/>
    </row>
    <row r="732" spans="3:14" x14ac:dyDescent="0.25">
      <c r="C732" s="405"/>
      <c r="D732" s="405"/>
      <c r="E732" s="405"/>
      <c r="F732" s="405"/>
      <c r="G732" s="405"/>
      <c r="H732" s="405"/>
      <c r="I732" s="405"/>
      <c r="J732" s="405"/>
      <c r="K732" s="405"/>
      <c r="L732" s="405"/>
      <c r="M732" s="405"/>
      <c r="N732" s="405"/>
    </row>
    <row r="733" spans="3:14" x14ac:dyDescent="0.25">
      <c r="C733" s="405"/>
      <c r="D733" s="405"/>
      <c r="E733" s="405"/>
      <c r="F733" s="405"/>
      <c r="G733" s="405"/>
      <c r="H733" s="405"/>
      <c r="I733" s="405"/>
      <c r="J733" s="405"/>
      <c r="K733" s="405"/>
      <c r="L733" s="405"/>
      <c r="M733" s="405"/>
      <c r="N733" s="405"/>
    </row>
    <row r="734" spans="3:14" x14ac:dyDescent="0.25">
      <c r="C734" s="405"/>
      <c r="D734" s="405"/>
      <c r="E734" s="405"/>
      <c r="F734" s="405"/>
      <c r="G734" s="405"/>
      <c r="H734" s="405"/>
      <c r="I734" s="405"/>
      <c r="J734" s="405"/>
      <c r="K734" s="405"/>
      <c r="L734" s="405"/>
      <c r="M734" s="405"/>
      <c r="N734" s="405"/>
    </row>
    <row r="735" spans="3:14" x14ac:dyDescent="0.25">
      <c r="C735" s="405"/>
      <c r="D735" s="405"/>
      <c r="E735" s="405"/>
      <c r="F735" s="405"/>
      <c r="G735" s="405"/>
      <c r="H735" s="405"/>
      <c r="I735" s="405"/>
      <c r="J735" s="405"/>
      <c r="K735" s="405"/>
      <c r="L735" s="405"/>
      <c r="M735" s="405"/>
      <c r="N735" s="405"/>
    </row>
    <row r="736" spans="3:14" x14ac:dyDescent="0.25">
      <c r="C736" s="405"/>
      <c r="D736" s="405"/>
      <c r="E736" s="405"/>
      <c r="F736" s="405"/>
      <c r="G736" s="405"/>
      <c r="H736" s="405"/>
      <c r="I736" s="405"/>
      <c r="J736" s="405"/>
      <c r="K736" s="405"/>
      <c r="L736" s="405"/>
      <c r="M736" s="405"/>
      <c r="N736" s="405"/>
    </row>
    <row r="737" spans="3:14" x14ac:dyDescent="0.25">
      <c r="C737" s="405"/>
      <c r="D737" s="405"/>
      <c r="E737" s="405"/>
      <c r="F737" s="405"/>
      <c r="G737" s="405"/>
      <c r="H737" s="405"/>
      <c r="I737" s="405"/>
      <c r="J737" s="405"/>
      <c r="K737" s="405"/>
      <c r="L737" s="405"/>
      <c r="M737" s="405"/>
      <c r="N737" s="405"/>
    </row>
    <row r="738" spans="3:14" x14ac:dyDescent="0.25">
      <c r="C738" s="405"/>
      <c r="D738" s="405"/>
      <c r="E738" s="405"/>
      <c r="F738" s="405"/>
      <c r="G738" s="405"/>
      <c r="H738" s="405"/>
      <c r="I738" s="405"/>
      <c r="J738" s="405"/>
      <c r="K738" s="405"/>
      <c r="L738" s="405"/>
      <c r="M738" s="405"/>
      <c r="N738" s="405"/>
    </row>
    <row r="739" spans="3:14" x14ac:dyDescent="0.25">
      <c r="C739" s="405"/>
      <c r="D739" s="405"/>
      <c r="E739" s="405"/>
      <c r="F739" s="405"/>
      <c r="G739" s="405"/>
      <c r="H739" s="405"/>
      <c r="I739" s="405"/>
      <c r="J739" s="405"/>
      <c r="K739" s="405"/>
      <c r="L739" s="405"/>
      <c r="M739" s="405"/>
      <c r="N739" s="405"/>
    </row>
    <row r="740" spans="3:14" x14ac:dyDescent="0.25">
      <c r="C740" s="405"/>
      <c r="D740" s="405"/>
      <c r="E740" s="405"/>
      <c r="F740" s="405"/>
      <c r="G740" s="405"/>
      <c r="H740" s="405"/>
      <c r="I740" s="405"/>
      <c r="J740" s="405"/>
      <c r="K740" s="405"/>
      <c r="L740" s="405"/>
      <c r="M740" s="405"/>
      <c r="N740" s="405"/>
    </row>
    <row r="741" spans="3:14" x14ac:dyDescent="0.25">
      <c r="C741" s="405"/>
      <c r="D741" s="405"/>
      <c r="E741" s="405"/>
      <c r="F741" s="405"/>
      <c r="G741" s="405"/>
      <c r="H741" s="405"/>
      <c r="I741" s="405"/>
      <c r="J741" s="405"/>
      <c r="K741" s="405"/>
      <c r="L741" s="405"/>
      <c r="M741" s="405"/>
      <c r="N741" s="405"/>
    </row>
    <row r="742" spans="3:14" x14ac:dyDescent="0.25">
      <c r="C742" s="405"/>
      <c r="D742" s="405"/>
      <c r="E742" s="405"/>
      <c r="F742" s="405"/>
      <c r="G742" s="405"/>
      <c r="H742" s="405"/>
      <c r="I742" s="405"/>
      <c r="J742" s="405"/>
      <c r="K742" s="405"/>
      <c r="L742" s="405"/>
      <c r="M742" s="405"/>
      <c r="N742" s="405"/>
    </row>
    <row r="743" spans="3:14" x14ac:dyDescent="0.25">
      <c r="C743" s="405"/>
      <c r="D743" s="405"/>
      <c r="E743" s="405"/>
      <c r="F743" s="405"/>
      <c r="G743" s="405"/>
      <c r="H743" s="405"/>
      <c r="I743" s="405"/>
      <c r="J743" s="405"/>
      <c r="K743" s="405"/>
      <c r="L743" s="405"/>
      <c r="M743" s="405"/>
      <c r="N743" s="405"/>
    </row>
    <row r="744" spans="3:14" x14ac:dyDescent="0.25">
      <c r="C744" s="405"/>
      <c r="D744" s="405"/>
      <c r="E744" s="405"/>
      <c r="F744" s="405"/>
      <c r="G744" s="405"/>
      <c r="H744" s="405"/>
      <c r="I744" s="405"/>
      <c r="J744" s="405"/>
      <c r="K744" s="405"/>
      <c r="L744" s="405"/>
      <c r="M744" s="405"/>
      <c r="N744" s="405"/>
    </row>
    <row r="745" spans="3:14" x14ac:dyDescent="0.25">
      <c r="C745" s="405"/>
      <c r="D745" s="405"/>
      <c r="E745" s="405"/>
      <c r="F745" s="405"/>
      <c r="G745" s="405"/>
      <c r="H745" s="405"/>
      <c r="I745" s="405"/>
      <c r="J745" s="405"/>
      <c r="K745" s="405"/>
      <c r="L745" s="405"/>
      <c r="M745" s="405"/>
      <c r="N745" s="405"/>
    </row>
    <row r="746" spans="3:14" x14ac:dyDescent="0.25">
      <c r="C746" s="405"/>
      <c r="D746" s="405"/>
      <c r="E746" s="405"/>
      <c r="F746" s="405"/>
      <c r="G746" s="405"/>
      <c r="H746" s="405"/>
      <c r="I746" s="405"/>
      <c r="J746" s="405"/>
      <c r="K746" s="405"/>
      <c r="L746" s="405"/>
      <c r="M746" s="405"/>
      <c r="N746" s="405"/>
    </row>
    <row r="747" spans="3:14" x14ac:dyDescent="0.25">
      <c r="C747" s="405"/>
      <c r="D747" s="405"/>
      <c r="E747" s="405"/>
      <c r="F747" s="405"/>
      <c r="G747" s="405"/>
      <c r="H747" s="405"/>
      <c r="I747" s="405"/>
      <c r="J747" s="405"/>
      <c r="K747" s="405"/>
      <c r="L747" s="405"/>
      <c r="M747" s="405"/>
      <c r="N747" s="405"/>
    </row>
    <row r="748" spans="3:14" x14ac:dyDescent="0.25">
      <c r="C748" s="405"/>
      <c r="D748" s="405"/>
      <c r="E748" s="405"/>
      <c r="F748" s="405"/>
      <c r="G748" s="405"/>
      <c r="H748" s="405"/>
      <c r="I748" s="405"/>
      <c r="J748" s="405"/>
      <c r="K748" s="405"/>
      <c r="L748" s="405"/>
      <c r="M748" s="405"/>
      <c r="N748" s="405"/>
    </row>
    <row r="749" spans="3:14" x14ac:dyDescent="0.25">
      <c r="C749" s="405"/>
      <c r="D749" s="405"/>
      <c r="E749" s="405"/>
      <c r="F749" s="405"/>
      <c r="G749" s="405"/>
      <c r="H749" s="405"/>
      <c r="I749" s="405"/>
      <c r="J749" s="405"/>
      <c r="K749" s="405"/>
      <c r="L749" s="405"/>
      <c r="M749" s="405"/>
      <c r="N749" s="405"/>
    </row>
    <row r="750" spans="3:14" x14ac:dyDescent="0.25">
      <c r="C750" s="405"/>
      <c r="D750" s="405"/>
      <c r="E750" s="405"/>
      <c r="F750" s="405"/>
      <c r="G750" s="405"/>
      <c r="H750" s="405"/>
      <c r="I750" s="405"/>
      <c r="J750" s="405"/>
      <c r="K750" s="405"/>
      <c r="L750" s="405"/>
      <c r="M750" s="405"/>
      <c r="N750" s="405"/>
    </row>
    <row r="751" spans="3:14" x14ac:dyDescent="0.25">
      <c r="C751" s="405"/>
      <c r="D751" s="405"/>
      <c r="E751" s="405"/>
      <c r="F751" s="405"/>
      <c r="G751" s="405"/>
      <c r="H751" s="405"/>
      <c r="I751" s="405"/>
      <c r="J751" s="405"/>
      <c r="K751" s="405"/>
      <c r="L751" s="405"/>
      <c r="M751" s="405"/>
      <c r="N751" s="405"/>
    </row>
    <row r="752" spans="3:14" x14ac:dyDescent="0.25">
      <c r="C752" s="405"/>
      <c r="D752" s="405"/>
      <c r="E752" s="405"/>
      <c r="F752" s="405"/>
      <c r="G752" s="405"/>
      <c r="H752" s="405"/>
      <c r="I752" s="405"/>
      <c r="J752" s="405"/>
      <c r="K752" s="405"/>
      <c r="L752" s="405"/>
      <c r="M752" s="405"/>
      <c r="N752" s="405"/>
    </row>
    <row r="753" spans="3:14" x14ac:dyDescent="0.25">
      <c r="C753" s="405"/>
      <c r="D753" s="405"/>
      <c r="E753" s="405"/>
      <c r="F753" s="405"/>
      <c r="G753" s="405"/>
      <c r="H753" s="405"/>
      <c r="I753" s="405"/>
      <c r="J753" s="405"/>
      <c r="K753" s="405"/>
      <c r="L753" s="405"/>
      <c r="M753" s="405"/>
      <c r="N753" s="405"/>
    </row>
    <row r="754" spans="3:14" x14ac:dyDescent="0.25">
      <c r="C754" s="405"/>
      <c r="D754" s="405"/>
      <c r="E754" s="405"/>
      <c r="F754" s="405"/>
      <c r="G754" s="405"/>
      <c r="H754" s="405"/>
      <c r="I754" s="405"/>
      <c r="J754" s="405"/>
      <c r="K754" s="405"/>
      <c r="L754" s="405"/>
      <c r="M754" s="405"/>
      <c r="N754" s="405"/>
    </row>
    <row r="755" spans="3:14" x14ac:dyDescent="0.25">
      <c r="C755" s="405"/>
      <c r="D755" s="405"/>
      <c r="E755" s="405"/>
      <c r="F755" s="405"/>
      <c r="G755" s="405"/>
      <c r="H755" s="405"/>
      <c r="I755" s="405"/>
      <c r="J755" s="405"/>
      <c r="K755" s="405"/>
      <c r="L755" s="405"/>
      <c r="M755" s="405"/>
      <c r="N755" s="405"/>
    </row>
    <row r="756" spans="3:14" x14ac:dyDescent="0.25">
      <c r="C756" s="405"/>
      <c r="D756" s="405"/>
      <c r="E756" s="405"/>
      <c r="F756" s="405"/>
      <c r="G756" s="405"/>
      <c r="H756" s="405"/>
      <c r="I756" s="405"/>
      <c r="J756" s="405"/>
      <c r="K756" s="405"/>
      <c r="L756" s="405"/>
      <c r="M756" s="405"/>
      <c r="N756" s="405"/>
    </row>
    <row r="757" spans="3:14" x14ac:dyDescent="0.25">
      <c r="C757" s="405"/>
      <c r="D757" s="405"/>
      <c r="E757" s="405"/>
      <c r="F757" s="405"/>
      <c r="G757" s="405"/>
      <c r="H757" s="405"/>
      <c r="I757" s="405"/>
      <c r="J757" s="405"/>
      <c r="K757" s="405"/>
      <c r="L757" s="405"/>
      <c r="M757" s="405"/>
      <c r="N757" s="405"/>
    </row>
    <row r="758" spans="3:14" x14ac:dyDescent="0.25">
      <c r="C758" s="405"/>
      <c r="D758" s="405"/>
      <c r="E758" s="405"/>
      <c r="F758" s="405"/>
      <c r="G758" s="405"/>
      <c r="H758" s="405"/>
      <c r="I758" s="405"/>
      <c r="J758" s="405"/>
      <c r="K758" s="405"/>
      <c r="L758" s="405"/>
      <c r="M758" s="405"/>
      <c r="N758" s="405"/>
    </row>
    <row r="759" spans="3:14" x14ac:dyDescent="0.25">
      <c r="C759" s="405"/>
      <c r="D759" s="405"/>
      <c r="E759" s="405"/>
      <c r="F759" s="405"/>
      <c r="G759" s="405"/>
      <c r="H759" s="405"/>
      <c r="I759" s="405"/>
      <c r="J759" s="405"/>
      <c r="K759" s="405"/>
      <c r="L759" s="405"/>
      <c r="M759" s="405"/>
      <c r="N759" s="405"/>
    </row>
    <row r="760" spans="3:14" x14ac:dyDescent="0.25">
      <c r="C760" s="405"/>
      <c r="D760" s="405"/>
      <c r="E760" s="405"/>
      <c r="F760" s="405"/>
      <c r="G760" s="405"/>
      <c r="H760" s="405"/>
      <c r="I760" s="405"/>
      <c r="J760" s="405"/>
      <c r="K760" s="405"/>
      <c r="L760" s="405"/>
      <c r="M760" s="405"/>
      <c r="N760" s="405"/>
    </row>
    <row r="761" spans="3:14" x14ac:dyDescent="0.25">
      <c r="C761" s="405"/>
      <c r="D761" s="405"/>
      <c r="E761" s="405"/>
      <c r="F761" s="405"/>
      <c r="G761" s="405"/>
      <c r="H761" s="405"/>
      <c r="I761" s="405"/>
      <c r="J761" s="405"/>
      <c r="K761" s="405"/>
      <c r="L761" s="405"/>
      <c r="M761" s="405"/>
      <c r="N761" s="405"/>
    </row>
    <row r="762" spans="3:14" x14ac:dyDescent="0.25">
      <c r="C762" s="405"/>
      <c r="D762" s="405"/>
      <c r="E762" s="405"/>
      <c r="F762" s="405"/>
      <c r="G762" s="405"/>
      <c r="H762" s="405"/>
      <c r="I762" s="405"/>
      <c r="J762" s="405"/>
      <c r="K762" s="405"/>
      <c r="L762" s="405"/>
      <c r="M762" s="405"/>
      <c r="N762" s="405"/>
    </row>
    <row r="763" spans="3:14" x14ac:dyDescent="0.25">
      <c r="C763" s="405"/>
      <c r="D763" s="405"/>
      <c r="E763" s="405"/>
      <c r="F763" s="405"/>
      <c r="G763" s="405"/>
      <c r="H763" s="405"/>
      <c r="I763" s="405"/>
      <c r="J763" s="405"/>
      <c r="K763" s="405"/>
      <c r="L763" s="405"/>
      <c r="M763" s="405"/>
      <c r="N763" s="405"/>
    </row>
    <row r="764" spans="3:14" x14ac:dyDescent="0.25">
      <c r="C764" s="405"/>
      <c r="D764" s="405"/>
      <c r="E764" s="405"/>
      <c r="F764" s="405"/>
      <c r="G764" s="405"/>
      <c r="H764" s="405"/>
      <c r="I764" s="405"/>
      <c r="J764" s="405"/>
      <c r="K764" s="405"/>
      <c r="L764" s="405"/>
      <c r="M764" s="405"/>
      <c r="N764" s="405"/>
    </row>
    <row r="765" spans="3:14" x14ac:dyDescent="0.25">
      <c r="C765" s="405"/>
      <c r="D765" s="405"/>
      <c r="E765" s="405"/>
      <c r="F765" s="405"/>
      <c r="G765" s="405"/>
      <c r="H765" s="405"/>
      <c r="I765" s="405"/>
      <c r="J765" s="405"/>
      <c r="K765" s="405"/>
      <c r="L765" s="405"/>
      <c r="M765" s="405"/>
      <c r="N765" s="405"/>
    </row>
    <row r="766" spans="3:14" x14ac:dyDescent="0.25">
      <c r="C766" s="405"/>
      <c r="D766" s="405"/>
      <c r="E766" s="405"/>
      <c r="F766" s="405"/>
      <c r="G766" s="405"/>
      <c r="H766" s="405"/>
      <c r="I766" s="405"/>
      <c r="J766" s="405"/>
      <c r="K766" s="405"/>
      <c r="L766" s="405"/>
      <c r="M766" s="405"/>
      <c r="N766" s="405"/>
    </row>
    <row r="767" spans="3:14" x14ac:dyDescent="0.25">
      <c r="C767" s="405"/>
      <c r="D767" s="405"/>
      <c r="E767" s="405"/>
      <c r="F767" s="405"/>
      <c r="G767" s="405"/>
      <c r="H767" s="405"/>
      <c r="I767" s="405"/>
      <c r="J767" s="405"/>
      <c r="K767" s="405"/>
      <c r="L767" s="405"/>
      <c r="M767" s="405"/>
      <c r="N767" s="405"/>
    </row>
    <row r="768" spans="3:14" x14ac:dyDescent="0.25">
      <c r="C768" s="405"/>
      <c r="D768" s="405"/>
      <c r="E768" s="405"/>
      <c r="F768" s="405"/>
      <c r="G768" s="405"/>
      <c r="H768" s="405"/>
      <c r="I768" s="405"/>
      <c r="J768" s="405"/>
      <c r="K768" s="405"/>
      <c r="L768" s="405"/>
      <c r="M768" s="405"/>
      <c r="N768" s="405"/>
    </row>
    <row r="769" spans="3:14" x14ac:dyDescent="0.25">
      <c r="C769" s="405"/>
      <c r="D769" s="405"/>
      <c r="E769" s="405"/>
      <c r="F769" s="405"/>
      <c r="G769" s="405"/>
      <c r="H769" s="405"/>
      <c r="I769" s="405"/>
      <c r="J769" s="405"/>
      <c r="K769" s="405"/>
      <c r="L769" s="405"/>
      <c r="M769" s="405"/>
      <c r="N769" s="405"/>
    </row>
    <row r="770" spans="3:14" x14ac:dyDescent="0.25">
      <c r="C770" s="405"/>
      <c r="D770" s="405"/>
      <c r="E770" s="405"/>
      <c r="F770" s="405"/>
      <c r="G770" s="405"/>
      <c r="H770" s="405"/>
      <c r="I770" s="405"/>
      <c r="J770" s="405"/>
      <c r="K770" s="405"/>
      <c r="L770" s="405"/>
      <c r="M770" s="405"/>
      <c r="N770" s="405"/>
    </row>
    <row r="771" spans="3:14" x14ac:dyDescent="0.25">
      <c r="C771" s="405"/>
      <c r="D771" s="405"/>
      <c r="E771" s="405"/>
      <c r="F771" s="405"/>
      <c r="G771" s="405"/>
      <c r="H771" s="405"/>
      <c r="I771" s="405"/>
      <c r="J771" s="405"/>
      <c r="K771" s="405"/>
      <c r="L771" s="405"/>
      <c r="M771" s="405"/>
      <c r="N771" s="405"/>
    </row>
    <row r="772" spans="3:14" x14ac:dyDescent="0.25">
      <c r="C772" s="405"/>
      <c r="D772" s="405"/>
      <c r="E772" s="405"/>
      <c r="F772" s="405"/>
      <c r="G772" s="405"/>
      <c r="H772" s="405"/>
      <c r="I772" s="405"/>
      <c r="J772" s="405"/>
      <c r="K772" s="405"/>
      <c r="L772" s="405"/>
      <c r="M772" s="405"/>
      <c r="N772" s="405"/>
    </row>
    <row r="773" spans="3:14" x14ac:dyDescent="0.25">
      <c r="C773" s="405"/>
      <c r="D773" s="405"/>
      <c r="E773" s="405"/>
      <c r="F773" s="405"/>
      <c r="G773" s="405"/>
      <c r="H773" s="405"/>
      <c r="I773" s="405"/>
      <c r="J773" s="405"/>
      <c r="K773" s="405"/>
      <c r="L773" s="405"/>
      <c r="M773" s="405"/>
      <c r="N773" s="405"/>
    </row>
    <row r="774" spans="3:14" x14ac:dyDescent="0.25">
      <c r="C774" s="405"/>
      <c r="D774" s="405"/>
      <c r="E774" s="405"/>
      <c r="F774" s="405"/>
      <c r="G774" s="405"/>
      <c r="H774" s="405"/>
      <c r="I774" s="405"/>
      <c r="J774" s="405"/>
      <c r="K774" s="405"/>
      <c r="L774" s="405"/>
      <c r="M774" s="405"/>
      <c r="N774" s="405"/>
    </row>
    <row r="775" spans="3:14" x14ac:dyDescent="0.25">
      <c r="C775" s="405"/>
      <c r="D775" s="405"/>
      <c r="E775" s="405"/>
      <c r="F775" s="405"/>
      <c r="G775" s="405"/>
      <c r="H775" s="405"/>
      <c r="I775" s="405"/>
      <c r="J775" s="405"/>
      <c r="K775" s="405"/>
      <c r="L775" s="405"/>
      <c r="M775" s="405"/>
      <c r="N775" s="405"/>
    </row>
    <row r="776" spans="3:14" x14ac:dyDescent="0.25">
      <c r="C776" s="405"/>
      <c r="D776" s="405"/>
      <c r="E776" s="405"/>
      <c r="F776" s="405"/>
      <c r="G776" s="405"/>
      <c r="H776" s="405"/>
      <c r="I776" s="405"/>
      <c r="J776" s="405"/>
      <c r="K776" s="405"/>
      <c r="L776" s="405"/>
      <c r="M776" s="405"/>
      <c r="N776" s="405"/>
    </row>
    <row r="777" spans="3:14" x14ac:dyDescent="0.25">
      <c r="C777" s="405"/>
      <c r="D777" s="405"/>
      <c r="E777" s="405"/>
      <c r="F777" s="405"/>
      <c r="G777" s="405"/>
      <c r="H777" s="405"/>
      <c r="I777" s="405"/>
      <c r="J777" s="405"/>
      <c r="K777" s="405"/>
      <c r="L777" s="405"/>
      <c r="M777" s="405"/>
      <c r="N777" s="405"/>
    </row>
    <row r="778" spans="3:14" x14ac:dyDescent="0.25">
      <c r="C778" s="405"/>
      <c r="D778" s="405"/>
      <c r="E778" s="405"/>
      <c r="F778" s="405"/>
      <c r="G778" s="405"/>
      <c r="H778" s="405"/>
      <c r="I778" s="405"/>
      <c r="J778" s="405"/>
      <c r="K778" s="405"/>
      <c r="L778" s="405"/>
      <c r="M778" s="405"/>
      <c r="N778" s="405"/>
    </row>
    <row r="779" spans="3:14" x14ac:dyDescent="0.25">
      <c r="C779" s="405"/>
      <c r="D779" s="405"/>
      <c r="E779" s="405"/>
      <c r="F779" s="405"/>
      <c r="G779" s="405"/>
      <c r="H779" s="405"/>
      <c r="I779" s="405"/>
      <c r="J779" s="405"/>
      <c r="K779" s="405"/>
      <c r="L779" s="405"/>
      <c r="M779" s="405"/>
      <c r="N779" s="405"/>
    </row>
    <row r="780" spans="3:14" x14ac:dyDescent="0.25">
      <c r="C780" s="405"/>
      <c r="D780" s="405"/>
      <c r="E780" s="405"/>
      <c r="F780" s="405"/>
      <c r="G780" s="405"/>
      <c r="H780" s="405"/>
      <c r="I780" s="405"/>
      <c r="J780" s="405"/>
      <c r="K780" s="405"/>
      <c r="L780" s="405"/>
      <c r="M780" s="405"/>
      <c r="N780" s="405"/>
    </row>
    <row r="781" spans="3:14" x14ac:dyDescent="0.25">
      <c r="C781" s="405"/>
      <c r="D781" s="405"/>
      <c r="E781" s="405"/>
      <c r="F781" s="405"/>
      <c r="G781" s="405"/>
      <c r="H781" s="405"/>
      <c r="I781" s="405"/>
      <c r="J781" s="405"/>
      <c r="K781" s="405"/>
      <c r="L781" s="405"/>
      <c r="M781" s="405"/>
      <c r="N781" s="405"/>
    </row>
    <row r="782" spans="3:14" x14ac:dyDescent="0.25">
      <c r="C782" s="405"/>
      <c r="D782" s="405"/>
      <c r="E782" s="405"/>
      <c r="F782" s="405"/>
      <c r="G782" s="405"/>
      <c r="H782" s="405"/>
      <c r="I782" s="405"/>
      <c r="J782" s="405"/>
      <c r="K782" s="405"/>
      <c r="L782" s="405"/>
      <c r="M782" s="405"/>
      <c r="N782" s="405"/>
    </row>
    <row r="783" spans="3:14" x14ac:dyDescent="0.25">
      <c r="C783" s="405"/>
      <c r="D783" s="405"/>
      <c r="E783" s="405"/>
      <c r="F783" s="405"/>
      <c r="G783" s="405"/>
      <c r="H783" s="405"/>
      <c r="I783" s="405"/>
      <c r="J783" s="405"/>
      <c r="K783" s="405"/>
      <c r="L783" s="405"/>
      <c r="M783" s="405"/>
      <c r="N783" s="405"/>
    </row>
    <row r="784" spans="3:14" x14ac:dyDescent="0.25">
      <c r="C784" s="405"/>
      <c r="D784" s="405"/>
      <c r="E784" s="405"/>
      <c r="F784" s="405"/>
      <c r="G784" s="405"/>
      <c r="H784" s="405"/>
      <c r="I784" s="405"/>
      <c r="J784" s="405"/>
      <c r="K784" s="405"/>
      <c r="L784" s="405"/>
      <c r="M784" s="405"/>
      <c r="N784" s="405"/>
    </row>
    <row r="785" spans="3:14" x14ac:dyDescent="0.25">
      <c r="C785" s="405"/>
      <c r="D785" s="405"/>
      <c r="E785" s="405"/>
      <c r="F785" s="405"/>
      <c r="G785" s="405"/>
      <c r="H785" s="405"/>
      <c r="I785" s="405"/>
      <c r="J785" s="405"/>
      <c r="K785" s="405"/>
      <c r="L785" s="405"/>
      <c r="M785" s="405"/>
      <c r="N785" s="405"/>
    </row>
    <row r="786" spans="3:14" x14ac:dyDescent="0.25">
      <c r="C786" s="405"/>
      <c r="D786" s="405"/>
      <c r="E786" s="405"/>
      <c r="F786" s="405"/>
      <c r="G786" s="405"/>
      <c r="H786" s="405"/>
      <c r="I786" s="405"/>
      <c r="J786" s="405"/>
      <c r="K786" s="405"/>
      <c r="L786" s="405"/>
      <c r="M786" s="405"/>
      <c r="N786" s="405"/>
    </row>
    <row r="787" spans="3:14" x14ac:dyDescent="0.25">
      <c r="C787" s="405"/>
      <c r="D787" s="405"/>
      <c r="E787" s="405"/>
      <c r="F787" s="405"/>
      <c r="G787" s="405"/>
      <c r="H787" s="405"/>
      <c r="I787" s="405"/>
      <c r="J787" s="405"/>
      <c r="K787" s="405"/>
      <c r="L787" s="405"/>
      <c r="M787" s="405"/>
      <c r="N787" s="405"/>
    </row>
    <row r="788" spans="3:14" x14ac:dyDescent="0.25">
      <c r="C788" s="405"/>
      <c r="D788" s="405"/>
      <c r="E788" s="405"/>
      <c r="F788" s="405"/>
      <c r="G788" s="405"/>
      <c r="H788" s="405"/>
      <c r="I788" s="405"/>
      <c r="J788" s="405"/>
      <c r="K788" s="405"/>
      <c r="L788" s="405"/>
      <c r="M788" s="405"/>
      <c r="N788" s="405"/>
    </row>
    <row r="789" spans="3:14" x14ac:dyDescent="0.25">
      <c r="C789" s="405"/>
      <c r="D789" s="405"/>
      <c r="E789" s="405"/>
      <c r="F789" s="405"/>
      <c r="G789" s="405"/>
      <c r="H789" s="405"/>
      <c r="I789" s="405"/>
      <c r="J789" s="405"/>
      <c r="K789" s="405"/>
      <c r="L789" s="405"/>
      <c r="M789" s="405"/>
      <c r="N789" s="405"/>
    </row>
    <row r="790" spans="3:14" x14ac:dyDescent="0.25">
      <c r="C790" s="405"/>
      <c r="D790" s="405"/>
      <c r="E790" s="405"/>
      <c r="F790" s="405"/>
      <c r="G790" s="405"/>
      <c r="H790" s="405"/>
      <c r="I790" s="405"/>
      <c r="J790" s="405"/>
      <c r="K790" s="405"/>
      <c r="L790" s="405"/>
      <c r="M790" s="405"/>
      <c r="N790" s="405"/>
    </row>
    <row r="791" spans="3:14" x14ac:dyDescent="0.25">
      <c r="C791" s="405"/>
      <c r="D791" s="405"/>
      <c r="E791" s="405"/>
      <c r="F791" s="405"/>
      <c r="G791" s="405"/>
      <c r="H791" s="405"/>
      <c r="I791" s="405"/>
      <c r="J791" s="405"/>
      <c r="K791" s="405"/>
      <c r="L791" s="405"/>
      <c r="M791" s="405"/>
      <c r="N791" s="405"/>
    </row>
    <row r="792" spans="3:14" x14ac:dyDescent="0.25">
      <c r="C792" s="405"/>
      <c r="D792" s="405"/>
      <c r="E792" s="405"/>
      <c r="F792" s="405"/>
      <c r="G792" s="405"/>
      <c r="H792" s="405"/>
      <c r="I792" s="405"/>
      <c r="J792" s="405"/>
      <c r="K792" s="405"/>
      <c r="L792" s="405"/>
      <c r="M792" s="405"/>
      <c r="N792" s="405"/>
    </row>
    <row r="793" spans="3:14" x14ac:dyDescent="0.25">
      <c r="C793" s="405"/>
      <c r="D793" s="405"/>
      <c r="E793" s="405"/>
      <c r="F793" s="405"/>
      <c r="G793" s="405"/>
      <c r="H793" s="405"/>
      <c r="I793" s="405"/>
      <c r="J793" s="405"/>
      <c r="K793" s="405"/>
      <c r="L793" s="405"/>
      <c r="M793" s="405"/>
      <c r="N793" s="405"/>
    </row>
    <row r="794" spans="3:14" x14ac:dyDescent="0.25">
      <c r="C794" s="405"/>
      <c r="D794" s="405"/>
      <c r="E794" s="405"/>
      <c r="F794" s="405"/>
      <c r="G794" s="405"/>
      <c r="H794" s="405"/>
      <c r="I794" s="405"/>
      <c r="J794" s="405"/>
      <c r="K794" s="405"/>
      <c r="L794" s="405"/>
      <c r="M794" s="405"/>
      <c r="N794" s="405"/>
    </row>
    <row r="795" spans="3:14" x14ac:dyDescent="0.25">
      <c r="C795" s="405"/>
      <c r="D795" s="405"/>
      <c r="E795" s="405"/>
      <c r="F795" s="405"/>
      <c r="G795" s="405"/>
      <c r="H795" s="405"/>
      <c r="I795" s="405"/>
      <c r="J795" s="405"/>
      <c r="K795" s="405"/>
      <c r="L795" s="405"/>
      <c r="M795" s="405"/>
      <c r="N795" s="405"/>
    </row>
    <row r="796" spans="3:14" x14ac:dyDescent="0.25">
      <c r="C796" s="405"/>
      <c r="D796" s="405"/>
      <c r="E796" s="405"/>
      <c r="F796" s="405"/>
      <c r="G796" s="405"/>
      <c r="H796" s="405"/>
      <c r="I796" s="405"/>
      <c r="J796" s="405"/>
      <c r="K796" s="405"/>
      <c r="L796" s="405"/>
      <c r="M796" s="405"/>
      <c r="N796" s="405"/>
    </row>
    <row r="797" spans="3:14" x14ac:dyDescent="0.25">
      <c r="C797" s="405"/>
      <c r="D797" s="405"/>
      <c r="E797" s="405"/>
      <c r="F797" s="405"/>
      <c r="G797" s="405"/>
      <c r="H797" s="405"/>
      <c r="I797" s="405"/>
      <c r="J797" s="405"/>
      <c r="K797" s="405"/>
      <c r="L797" s="405"/>
      <c r="M797" s="405"/>
      <c r="N797" s="405"/>
    </row>
    <row r="798" spans="3:14" x14ac:dyDescent="0.25">
      <c r="C798" s="405"/>
      <c r="D798" s="405"/>
      <c r="E798" s="405"/>
      <c r="F798" s="405"/>
      <c r="G798" s="405"/>
      <c r="H798" s="405"/>
      <c r="I798" s="405"/>
      <c r="J798" s="405"/>
      <c r="K798" s="405"/>
      <c r="L798" s="405"/>
      <c r="M798" s="405"/>
      <c r="N798" s="405"/>
    </row>
    <row r="799" spans="3:14" x14ac:dyDescent="0.25">
      <c r="C799" s="405"/>
      <c r="D799" s="405"/>
      <c r="E799" s="405"/>
      <c r="F799" s="405"/>
      <c r="G799" s="405"/>
      <c r="H799" s="405"/>
      <c r="I799" s="405"/>
      <c r="J799" s="405"/>
      <c r="K799" s="405"/>
      <c r="L799" s="405"/>
      <c r="M799" s="405"/>
      <c r="N799" s="405"/>
    </row>
    <row r="800" spans="3:14" x14ac:dyDescent="0.25">
      <c r="C800" s="405"/>
      <c r="D800" s="405"/>
      <c r="E800" s="405"/>
      <c r="F800" s="405"/>
      <c r="G800" s="405"/>
      <c r="H800" s="405"/>
      <c r="I800" s="405"/>
      <c r="J800" s="405"/>
      <c r="K800" s="405"/>
      <c r="L800" s="405"/>
      <c r="M800" s="405"/>
      <c r="N800" s="405"/>
    </row>
    <row r="801" spans="3:14" x14ac:dyDescent="0.25">
      <c r="C801" s="405"/>
      <c r="D801" s="405"/>
      <c r="E801" s="405"/>
      <c r="F801" s="405"/>
      <c r="G801" s="405"/>
      <c r="H801" s="405"/>
      <c r="I801" s="405"/>
      <c r="J801" s="405"/>
      <c r="K801" s="405"/>
      <c r="L801" s="405"/>
      <c r="M801" s="405"/>
      <c r="N801" s="405"/>
    </row>
    <row r="802" spans="3:14" x14ac:dyDescent="0.25">
      <c r="C802" s="405"/>
      <c r="D802" s="405"/>
      <c r="E802" s="405"/>
      <c r="F802" s="405"/>
      <c r="G802" s="405"/>
      <c r="H802" s="405"/>
      <c r="I802" s="405"/>
      <c r="J802" s="405"/>
      <c r="K802" s="405"/>
      <c r="L802" s="405"/>
      <c r="M802" s="405"/>
      <c r="N802" s="405"/>
    </row>
    <row r="803" spans="3:14" x14ac:dyDescent="0.25">
      <c r="C803" s="405"/>
      <c r="D803" s="405"/>
      <c r="E803" s="405"/>
      <c r="F803" s="405"/>
      <c r="G803" s="405"/>
      <c r="H803" s="405"/>
      <c r="I803" s="405"/>
      <c r="J803" s="405"/>
      <c r="K803" s="405"/>
      <c r="L803" s="405"/>
      <c r="M803" s="405"/>
      <c r="N803" s="405"/>
    </row>
    <row r="804" spans="3:14" x14ac:dyDescent="0.25">
      <c r="C804" s="405"/>
      <c r="D804" s="405"/>
      <c r="E804" s="405"/>
      <c r="F804" s="405"/>
      <c r="G804" s="405"/>
      <c r="H804" s="405"/>
      <c r="I804" s="405"/>
      <c r="J804" s="405"/>
      <c r="K804" s="405"/>
      <c r="L804" s="405"/>
      <c r="M804" s="405"/>
      <c r="N804" s="405"/>
    </row>
    <row r="805" spans="3:14" x14ac:dyDescent="0.25">
      <c r="C805" s="405"/>
      <c r="D805" s="405"/>
      <c r="E805" s="405"/>
      <c r="F805" s="405"/>
      <c r="G805" s="405"/>
      <c r="H805" s="405"/>
      <c r="I805" s="405"/>
      <c r="J805" s="405"/>
      <c r="K805" s="405"/>
      <c r="L805" s="405"/>
      <c r="M805" s="405"/>
      <c r="N805" s="405"/>
    </row>
    <row r="806" spans="3:14" x14ac:dyDescent="0.25">
      <c r="C806" s="405"/>
      <c r="D806" s="405"/>
      <c r="E806" s="405"/>
      <c r="F806" s="405"/>
      <c r="G806" s="405"/>
      <c r="H806" s="405"/>
      <c r="I806" s="405"/>
      <c r="J806" s="405"/>
      <c r="K806" s="405"/>
      <c r="L806" s="405"/>
      <c r="M806" s="405"/>
      <c r="N806" s="405"/>
    </row>
    <row r="807" spans="3:14" x14ac:dyDescent="0.25">
      <c r="C807" s="405"/>
      <c r="D807" s="405"/>
      <c r="E807" s="405"/>
      <c r="F807" s="405"/>
      <c r="G807" s="405"/>
      <c r="H807" s="405"/>
      <c r="I807" s="405"/>
      <c r="J807" s="405"/>
      <c r="K807" s="405"/>
      <c r="L807" s="405"/>
      <c r="M807" s="405"/>
      <c r="N807" s="405"/>
    </row>
    <row r="808" spans="3:14" x14ac:dyDescent="0.25">
      <c r="C808" s="405"/>
      <c r="D808" s="405"/>
      <c r="E808" s="405"/>
      <c r="F808" s="405"/>
      <c r="G808" s="405"/>
      <c r="H808" s="405"/>
      <c r="I808" s="405"/>
      <c r="J808" s="405"/>
      <c r="K808" s="405"/>
      <c r="L808" s="405"/>
      <c r="M808" s="405"/>
      <c r="N808" s="405"/>
    </row>
    <row r="809" spans="3:14" x14ac:dyDescent="0.25">
      <c r="C809" s="405"/>
      <c r="D809" s="405"/>
      <c r="E809" s="405"/>
      <c r="F809" s="405"/>
      <c r="G809" s="405"/>
      <c r="H809" s="405"/>
      <c r="I809" s="405"/>
      <c r="J809" s="405"/>
      <c r="K809" s="405"/>
      <c r="L809" s="405"/>
      <c r="M809" s="405"/>
      <c r="N809" s="405"/>
    </row>
    <row r="810" spans="3:14" x14ac:dyDescent="0.25">
      <c r="C810" s="405"/>
      <c r="D810" s="405"/>
      <c r="E810" s="405"/>
      <c r="F810" s="405"/>
      <c r="G810" s="405"/>
      <c r="H810" s="405"/>
      <c r="I810" s="405"/>
      <c r="J810" s="405"/>
      <c r="K810" s="405"/>
      <c r="L810" s="405"/>
      <c r="M810" s="405"/>
      <c r="N810" s="405"/>
    </row>
    <row r="811" spans="3:14" x14ac:dyDescent="0.25">
      <c r="C811" s="405"/>
      <c r="D811" s="405"/>
      <c r="E811" s="405"/>
      <c r="F811" s="405"/>
      <c r="G811" s="405"/>
      <c r="H811" s="405"/>
      <c r="I811" s="405"/>
      <c r="J811" s="405"/>
      <c r="K811" s="405"/>
      <c r="L811" s="405"/>
      <c r="M811" s="405"/>
      <c r="N811" s="405"/>
    </row>
    <row r="812" spans="3:14" x14ac:dyDescent="0.25">
      <c r="C812" s="405"/>
      <c r="D812" s="405"/>
      <c r="E812" s="405"/>
      <c r="F812" s="405"/>
      <c r="G812" s="405"/>
      <c r="H812" s="405"/>
      <c r="I812" s="405"/>
      <c r="J812" s="405"/>
      <c r="K812" s="405"/>
      <c r="L812" s="405"/>
      <c r="M812" s="405"/>
      <c r="N812" s="405"/>
    </row>
    <row r="813" spans="3:14" x14ac:dyDescent="0.25">
      <c r="C813" s="405"/>
      <c r="D813" s="405"/>
      <c r="E813" s="405"/>
      <c r="F813" s="405"/>
      <c r="G813" s="405"/>
      <c r="H813" s="405"/>
      <c r="I813" s="405"/>
      <c r="J813" s="405"/>
      <c r="K813" s="405"/>
      <c r="L813" s="405"/>
      <c r="M813" s="405"/>
      <c r="N813" s="405"/>
    </row>
    <row r="814" spans="3:14" x14ac:dyDescent="0.25">
      <c r="C814" s="405"/>
      <c r="D814" s="405"/>
      <c r="E814" s="405"/>
      <c r="F814" s="405"/>
      <c r="G814" s="405"/>
      <c r="H814" s="405"/>
      <c r="I814" s="405"/>
      <c r="J814" s="405"/>
      <c r="K814" s="405"/>
      <c r="L814" s="405"/>
      <c r="M814" s="405"/>
      <c r="N814" s="405"/>
    </row>
    <row r="815" spans="3:14" x14ac:dyDescent="0.25">
      <c r="C815" s="405"/>
      <c r="D815" s="405"/>
      <c r="E815" s="405"/>
      <c r="F815" s="405"/>
      <c r="G815" s="405"/>
      <c r="H815" s="405"/>
      <c r="I815" s="405"/>
      <c r="J815" s="405"/>
      <c r="K815" s="405"/>
      <c r="L815" s="405"/>
      <c r="M815" s="405"/>
      <c r="N815" s="405"/>
    </row>
    <row r="816" spans="3:14" x14ac:dyDescent="0.25">
      <c r="C816" s="405"/>
      <c r="D816" s="405"/>
      <c r="E816" s="405"/>
      <c r="F816" s="405"/>
      <c r="G816" s="405"/>
      <c r="H816" s="405"/>
      <c r="I816" s="405"/>
      <c r="J816" s="405"/>
      <c r="K816" s="405"/>
      <c r="L816" s="405"/>
      <c r="M816" s="405"/>
      <c r="N816" s="405"/>
    </row>
    <row r="817" spans="3:14" x14ac:dyDescent="0.25">
      <c r="C817" s="405"/>
      <c r="D817" s="405"/>
      <c r="E817" s="405"/>
      <c r="F817" s="405"/>
      <c r="G817" s="405"/>
      <c r="H817" s="405"/>
      <c r="I817" s="405"/>
      <c r="J817" s="405"/>
      <c r="K817" s="405"/>
      <c r="L817" s="405"/>
      <c r="M817" s="405"/>
      <c r="N817" s="405"/>
    </row>
    <row r="818" spans="3:14" x14ac:dyDescent="0.25">
      <c r="C818" s="405"/>
      <c r="D818" s="405"/>
      <c r="E818" s="405"/>
      <c r="F818" s="405"/>
      <c r="G818" s="405"/>
      <c r="H818" s="405"/>
      <c r="I818" s="405"/>
      <c r="J818" s="405"/>
      <c r="K818" s="405"/>
      <c r="L818" s="405"/>
      <c r="M818" s="405"/>
      <c r="N818" s="405"/>
    </row>
    <row r="819" spans="3:14" x14ac:dyDescent="0.25">
      <c r="C819" s="405"/>
      <c r="D819" s="405"/>
      <c r="E819" s="405"/>
      <c r="F819" s="405"/>
      <c r="G819" s="405"/>
      <c r="H819" s="405"/>
      <c r="I819" s="405"/>
      <c r="J819" s="405"/>
      <c r="K819" s="405"/>
      <c r="L819" s="405"/>
      <c r="M819" s="405"/>
      <c r="N819" s="405"/>
    </row>
    <row r="820" spans="3:14" x14ac:dyDescent="0.25">
      <c r="C820" s="405"/>
      <c r="D820" s="405"/>
      <c r="E820" s="405"/>
      <c r="F820" s="405"/>
      <c r="G820" s="405"/>
      <c r="H820" s="405"/>
      <c r="I820" s="405"/>
      <c r="J820" s="405"/>
      <c r="K820" s="405"/>
      <c r="L820" s="405"/>
      <c r="M820" s="405"/>
      <c r="N820" s="405"/>
    </row>
    <row r="821" spans="3:14" x14ac:dyDescent="0.25">
      <c r="C821" s="405"/>
      <c r="D821" s="405"/>
      <c r="E821" s="405"/>
      <c r="F821" s="405"/>
      <c r="G821" s="405"/>
      <c r="H821" s="405"/>
      <c r="I821" s="405"/>
      <c r="J821" s="405"/>
      <c r="K821" s="405"/>
      <c r="L821" s="405"/>
      <c r="M821" s="405"/>
      <c r="N821" s="405"/>
    </row>
    <row r="822" spans="3:14" x14ac:dyDescent="0.25">
      <c r="C822" s="405"/>
      <c r="D822" s="405"/>
      <c r="E822" s="405"/>
      <c r="F822" s="405"/>
      <c r="G822" s="405"/>
      <c r="H822" s="405"/>
      <c r="I822" s="405"/>
      <c r="J822" s="405"/>
      <c r="K822" s="405"/>
      <c r="L822" s="405"/>
      <c r="M822" s="405"/>
      <c r="N822" s="405"/>
    </row>
    <row r="823" spans="3:14" x14ac:dyDescent="0.25">
      <c r="C823" s="405"/>
      <c r="D823" s="405"/>
      <c r="E823" s="405"/>
      <c r="F823" s="405"/>
      <c r="G823" s="405"/>
      <c r="H823" s="405"/>
      <c r="I823" s="405"/>
      <c r="J823" s="405"/>
      <c r="K823" s="405"/>
      <c r="L823" s="405"/>
      <c r="M823" s="405"/>
      <c r="N823" s="405"/>
    </row>
    <row r="824" spans="3:14" x14ac:dyDescent="0.25">
      <c r="C824" s="405"/>
      <c r="D824" s="405"/>
      <c r="E824" s="405"/>
      <c r="F824" s="405"/>
      <c r="G824" s="405"/>
      <c r="H824" s="405"/>
      <c r="I824" s="405"/>
      <c r="J824" s="405"/>
      <c r="K824" s="405"/>
      <c r="L824" s="405"/>
      <c r="M824" s="405"/>
      <c r="N824" s="405"/>
    </row>
    <row r="825" spans="3:14" x14ac:dyDescent="0.25">
      <c r="C825" s="405"/>
      <c r="D825" s="405"/>
      <c r="E825" s="405"/>
      <c r="F825" s="405"/>
      <c r="G825" s="405"/>
      <c r="H825" s="405"/>
      <c r="I825" s="405"/>
      <c r="J825" s="405"/>
      <c r="K825" s="405"/>
      <c r="L825" s="405"/>
      <c r="M825" s="405"/>
      <c r="N825" s="405"/>
    </row>
    <row r="826" spans="3:14" x14ac:dyDescent="0.25">
      <c r="C826" s="405"/>
      <c r="D826" s="405"/>
      <c r="E826" s="405"/>
      <c r="F826" s="405"/>
      <c r="G826" s="405"/>
      <c r="H826" s="405"/>
      <c r="I826" s="405"/>
      <c r="J826" s="405"/>
      <c r="K826" s="405"/>
      <c r="L826" s="405"/>
      <c r="M826" s="405"/>
      <c r="N826" s="405"/>
    </row>
    <row r="827" spans="3:14" x14ac:dyDescent="0.25">
      <c r="C827" s="405"/>
      <c r="D827" s="405"/>
      <c r="E827" s="405"/>
      <c r="F827" s="405"/>
      <c r="G827" s="405"/>
      <c r="H827" s="405"/>
      <c r="I827" s="405"/>
      <c r="J827" s="405"/>
      <c r="K827" s="405"/>
      <c r="L827" s="405"/>
      <c r="M827" s="405"/>
      <c r="N827" s="405"/>
    </row>
    <row r="828" spans="3:14" x14ac:dyDescent="0.25">
      <c r="C828" s="405"/>
      <c r="D828" s="405"/>
      <c r="E828" s="405"/>
      <c r="F828" s="405"/>
      <c r="G828" s="405"/>
      <c r="H828" s="405"/>
      <c r="I828" s="405"/>
      <c r="J828" s="405"/>
      <c r="K828" s="405"/>
      <c r="L828" s="405"/>
      <c r="M828" s="405"/>
      <c r="N828" s="405"/>
    </row>
    <row r="829" spans="3:14" x14ac:dyDescent="0.25">
      <c r="C829" s="405"/>
      <c r="D829" s="405"/>
      <c r="E829" s="405"/>
      <c r="F829" s="405"/>
      <c r="G829" s="405"/>
      <c r="H829" s="405"/>
      <c r="I829" s="405"/>
      <c r="J829" s="405"/>
      <c r="K829" s="405"/>
      <c r="L829" s="405"/>
      <c r="M829" s="405"/>
      <c r="N829" s="405"/>
    </row>
    <row r="830" spans="3:14" x14ac:dyDescent="0.25">
      <c r="C830" s="405"/>
      <c r="D830" s="405"/>
      <c r="E830" s="405"/>
      <c r="F830" s="405"/>
      <c r="G830" s="405"/>
      <c r="H830" s="405"/>
      <c r="I830" s="405"/>
      <c r="J830" s="405"/>
      <c r="K830" s="405"/>
      <c r="L830" s="405"/>
      <c r="M830" s="405"/>
      <c r="N830" s="405"/>
    </row>
    <row r="831" spans="3:14" x14ac:dyDescent="0.25">
      <c r="C831" s="405"/>
      <c r="D831" s="405"/>
      <c r="E831" s="405"/>
      <c r="F831" s="405"/>
      <c r="G831" s="405"/>
      <c r="H831" s="405"/>
      <c r="I831" s="405"/>
      <c r="J831" s="405"/>
      <c r="K831" s="405"/>
      <c r="L831" s="405"/>
      <c r="M831" s="405"/>
      <c r="N831" s="405"/>
    </row>
    <row r="832" spans="3:14" x14ac:dyDescent="0.25">
      <c r="C832" s="405"/>
      <c r="D832" s="405"/>
      <c r="E832" s="405"/>
      <c r="F832" s="405"/>
      <c r="G832" s="405"/>
      <c r="H832" s="405"/>
      <c r="I832" s="405"/>
      <c r="J832" s="405"/>
      <c r="K832" s="405"/>
      <c r="L832" s="405"/>
      <c r="M832" s="405"/>
      <c r="N832" s="405"/>
    </row>
    <row r="833" spans="3:14" x14ac:dyDescent="0.25">
      <c r="C833" s="405"/>
      <c r="D833" s="405"/>
      <c r="E833" s="405"/>
      <c r="F833" s="405"/>
      <c r="G833" s="405"/>
      <c r="H833" s="405"/>
      <c r="I833" s="405"/>
      <c r="J833" s="405"/>
      <c r="K833" s="405"/>
      <c r="L833" s="405"/>
      <c r="M833" s="405"/>
      <c r="N833" s="405"/>
    </row>
    <row r="834" spans="3:14" x14ac:dyDescent="0.25">
      <c r="C834" s="405"/>
      <c r="D834" s="405"/>
      <c r="E834" s="405"/>
      <c r="F834" s="405"/>
      <c r="G834" s="405"/>
      <c r="H834" s="405"/>
      <c r="I834" s="405"/>
      <c r="J834" s="405"/>
      <c r="K834" s="405"/>
      <c r="L834" s="405"/>
      <c r="M834" s="405"/>
      <c r="N834" s="405"/>
    </row>
    <row r="835" spans="3:14" x14ac:dyDescent="0.25">
      <c r="C835" s="405"/>
      <c r="D835" s="405"/>
      <c r="E835" s="405"/>
      <c r="F835" s="405"/>
      <c r="G835" s="405"/>
      <c r="H835" s="405"/>
      <c r="I835" s="405"/>
      <c r="J835" s="405"/>
      <c r="K835" s="405"/>
      <c r="L835" s="405"/>
      <c r="M835" s="405"/>
      <c r="N835" s="405"/>
    </row>
    <row r="836" spans="3:14" x14ac:dyDescent="0.25">
      <c r="C836" s="405"/>
      <c r="D836" s="405"/>
      <c r="E836" s="405"/>
      <c r="F836" s="405"/>
      <c r="G836" s="405"/>
      <c r="H836" s="405"/>
      <c r="I836" s="405"/>
      <c r="J836" s="405"/>
      <c r="K836" s="405"/>
      <c r="L836" s="405"/>
      <c r="M836" s="405"/>
      <c r="N836" s="405"/>
    </row>
    <row r="837" spans="3:14" x14ac:dyDescent="0.25">
      <c r="C837" s="405"/>
      <c r="D837" s="405"/>
      <c r="E837" s="405"/>
      <c r="F837" s="405"/>
      <c r="G837" s="405"/>
      <c r="H837" s="405"/>
      <c r="I837" s="405"/>
      <c r="J837" s="405"/>
      <c r="K837" s="405"/>
      <c r="L837" s="405"/>
      <c r="M837" s="405"/>
      <c r="N837" s="405"/>
    </row>
    <row r="838" spans="3:14" x14ac:dyDescent="0.25">
      <c r="C838" s="405"/>
      <c r="D838" s="405"/>
      <c r="E838" s="405"/>
      <c r="F838" s="405"/>
      <c r="G838" s="405"/>
      <c r="H838" s="405"/>
      <c r="I838" s="405"/>
      <c r="J838" s="405"/>
      <c r="K838" s="405"/>
      <c r="L838" s="405"/>
      <c r="M838" s="405"/>
      <c r="N838" s="405"/>
    </row>
    <row r="839" spans="3:14" x14ac:dyDescent="0.25">
      <c r="C839" s="405"/>
      <c r="D839" s="405"/>
      <c r="E839" s="405"/>
      <c r="F839" s="405"/>
      <c r="G839" s="405"/>
      <c r="H839" s="405"/>
      <c r="I839" s="405"/>
      <c r="J839" s="405"/>
      <c r="K839" s="405"/>
      <c r="L839" s="405"/>
      <c r="M839" s="405"/>
      <c r="N839" s="405"/>
    </row>
    <row r="840" spans="3:14" x14ac:dyDescent="0.25">
      <c r="C840" s="405"/>
      <c r="D840" s="405"/>
      <c r="E840" s="405"/>
      <c r="F840" s="405"/>
      <c r="G840" s="405"/>
      <c r="H840" s="405"/>
      <c r="I840" s="405"/>
      <c r="J840" s="405"/>
      <c r="K840" s="405"/>
      <c r="L840" s="405"/>
      <c r="M840" s="405"/>
      <c r="N840" s="405"/>
    </row>
    <row r="841" spans="3:14" x14ac:dyDescent="0.25">
      <c r="C841" s="405"/>
      <c r="D841" s="405"/>
      <c r="E841" s="405"/>
      <c r="F841" s="405"/>
      <c r="G841" s="405"/>
      <c r="H841" s="405"/>
      <c r="I841" s="405"/>
      <c r="J841" s="405"/>
      <c r="K841" s="405"/>
      <c r="L841" s="405"/>
      <c r="M841" s="405"/>
      <c r="N841" s="405"/>
    </row>
    <row r="842" spans="3:14" x14ac:dyDescent="0.25">
      <c r="C842" s="405"/>
      <c r="D842" s="405"/>
      <c r="E842" s="405"/>
      <c r="F842" s="405"/>
      <c r="G842" s="405"/>
      <c r="H842" s="405"/>
      <c r="I842" s="405"/>
      <c r="J842" s="405"/>
      <c r="K842" s="405"/>
      <c r="L842" s="405"/>
      <c r="M842" s="405"/>
      <c r="N842" s="405"/>
    </row>
    <row r="843" spans="3:14" x14ac:dyDescent="0.25">
      <c r="C843" s="405"/>
      <c r="D843" s="405"/>
      <c r="E843" s="405"/>
      <c r="F843" s="405"/>
      <c r="G843" s="405"/>
      <c r="H843" s="405"/>
      <c r="I843" s="405"/>
      <c r="J843" s="405"/>
      <c r="K843" s="405"/>
      <c r="L843" s="405"/>
      <c r="M843" s="405"/>
      <c r="N843" s="405"/>
    </row>
    <row r="844" spans="3:14" x14ac:dyDescent="0.25">
      <c r="C844" s="405"/>
      <c r="D844" s="405"/>
      <c r="E844" s="405"/>
      <c r="F844" s="405"/>
      <c r="G844" s="405"/>
      <c r="H844" s="405"/>
      <c r="I844" s="405"/>
      <c r="J844" s="405"/>
      <c r="K844" s="405"/>
      <c r="L844" s="405"/>
      <c r="M844" s="405"/>
      <c r="N844" s="405"/>
    </row>
    <row r="845" spans="3:14" x14ac:dyDescent="0.25">
      <c r="C845" s="405"/>
      <c r="D845" s="405"/>
      <c r="E845" s="405"/>
      <c r="F845" s="405"/>
      <c r="G845" s="405"/>
      <c r="H845" s="405"/>
      <c r="I845" s="405"/>
      <c r="J845" s="405"/>
      <c r="K845" s="405"/>
      <c r="L845" s="405"/>
      <c r="M845" s="405"/>
      <c r="N845" s="405"/>
    </row>
    <row r="846" spans="3:14" x14ac:dyDescent="0.25">
      <c r="C846" s="405"/>
      <c r="D846" s="405"/>
      <c r="E846" s="405"/>
      <c r="F846" s="405"/>
      <c r="G846" s="405"/>
      <c r="H846" s="405"/>
      <c r="I846" s="405"/>
      <c r="J846" s="405"/>
      <c r="K846" s="405"/>
      <c r="L846" s="405"/>
      <c r="M846" s="405"/>
      <c r="N846" s="405"/>
    </row>
    <row r="847" spans="3:14" x14ac:dyDescent="0.25">
      <c r="C847" s="405"/>
      <c r="D847" s="405"/>
      <c r="E847" s="405"/>
      <c r="F847" s="405"/>
      <c r="G847" s="405"/>
      <c r="H847" s="405"/>
      <c r="I847" s="405"/>
      <c r="J847" s="405"/>
      <c r="K847" s="405"/>
      <c r="L847" s="405"/>
      <c r="M847" s="405"/>
      <c r="N847" s="405"/>
    </row>
    <row r="848" spans="3:14" x14ac:dyDescent="0.25">
      <c r="C848" s="405"/>
      <c r="D848" s="405"/>
      <c r="E848" s="405"/>
      <c r="F848" s="405"/>
      <c r="G848" s="405"/>
      <c r="H848" s="405"/>
      <c r="I848" s="405"/>
      <c r="J848" s="405"/>
      <c r="K848" s="405"/>
      <c r="L848" s="405"/>
      <c r="M848" s="405"/>
      <c r="N848" s="405"/>
    </row>
    <row r="849" spans="3:14" x14ac:dyDescent="0.25">
      <c r="C849" s="405"/>
      <c r="D849" s="405"/>
      <c r="E849" s="405"/>
      <c r="F849" s="405"/>
      <c r="G849" s="405"/>
      <c r="H849" s="405"/>
      <c r="I849" s="405"/>
      <c r="J849" s="405"/>
      <c r="K849" s="405"/>
      <c r="L849" s="405"/>
      <c r="M849" s="405"/>
      <c r="N849" s="405"/>
    </row>
    <row r="850" spans="3:14" x14ac:dyDescent="0.25">
      <c r="C850" s="405"/>
      <c r="D850" s="405"/>
      <c r="E850" s="405"/>
      <c r="F850" s="405"/>
      <c r="G850" s="405"/>
      <c r="H850" s="405"/>
      <c r="I850" s="405"/>
      <c r="J850" s="405"/>
      <c r="K850" s="405"/>
      <c r="L850" s="405"/>
      <c r="M850" s="405"/>
      <c r="N850" s="405"/>
    </row>
    <row r="851" spans="3:14" x14ac:dyDescent="0.25">
      <c r="C851" s="405"/>
      <c r="D851" s="405"/>
      <c r="E851" s="405"/>
      <c r="F851" s="405"/>
      <c r="G851" s="405"/>
      <c r="H851" s="405"/>
      <c r="I851" s="405"/>
      <c r="J851" s="405"/>
      <c r="K851" s="405"/>
      <c r="L851" s="405"/>
      <c r="M851" s="405"/>
      <c r="N851" s="405"/>
    </row>
    <row r="852" spans="3:14" x14ac:dyDescent="0.25">
      <c r="C852" s="405"/>
      <c r="D852" s="405"/>
      <c r="E852" s="405"/>
      <c r="F852" s="405"/>
      <c r="G852" s="405"/>
      <c r="H852" s="405"/>
      <c r="I852" s="405"/>
      <c r="J852" s="405"/>
      <c r="K852" s="405"/>
      <c r="L852" s="405"/>
      <c r="M852" s="405"/>
      <c r="N852" s="405"/>
    </row>
    <row r="853" spans="3:14" x14ac:dyDescent="0.25">
      <c r="C853" s="405"/>
      <c r="D853" s="405"/>
      <c r="E853" s="405"/>
      <c r="F853" s="405"/>
      <c r="G853" s="405"/>
      <c r="H853" s="405"/>
      <c r="I853" s="405"/>
      <c r="J853" s="405"/>
      <c r="K853" s="405"/>
      <c r="L853" s="405"/>
      <c r="M853" s="405"/>
      <c r="N853" s="405"/>
    </row>
    <row r="854" spans="3:14" x14ac:dyDescent="0.25">
      <c r="C854" s="405"/>
      <c r="D854" s="405"/>
      <c r="E854" s="405"/>
      <c r="F854" s="405"/>
      <c r="G854" s="405"/>
      <c r="H854" s="405"/>
      <c r="I854" s="405"/>
      <c r="J854" s="405"/>
      <c r="K854" s="405"/>
      <c r="L854" s="405"/>
      <c r="M854" s="405"/>
      <c r="N854" s="405"/>
    </row>
    <row r="855" spans="3:14" x14ac:dyDescent="0.25">
      <c r="C855" s="405"/>
      <c r="D855" s="405"/>
      <c r="E855" s="405"/>
      <c r="F855" s="405"/>
      <c r="G855" s="405"/>
      <c r="H855" s="405"/>
      <c r="I855" s="405"/>
      <c r="J855" s="405"/>
      <c r="K855" s="405"/>
      <c r="L855" s="405"/>
      <c r="M855" s="405"/>
      <c r="N855" s="405"/>
    </row>
    <row r="856" spans="3:14" x14ac:dyDescent="0.25">
      <c r="C856" s="405"/>
      <c r="D856" s="405"/>
      <c r="E856" s="405"/>
      <c r="F856" s="405"/>
      <c r="G856" s="405"/>
      <c r="H856" s="405"/>
      <c r="I856" s="405"/>
      <c r="J856" s="405"/>
      <c r="K856" s="405"/>
      <c r="L856" s="405"/>
      <c r="M856" s="405"/>
      <c r="N856" s="405"/>
    </row>
    <row r="857" spans="3:14" x14ac:dyDescent="0.25">
      <c r="C857" s="405"/>
      <c r="D857" s="405"/>
      <c r="E857" s="405"/>
      <c r="F857" s="405"/>
      <c r="G857" s="405"/>
      <c r="H857" s="405"/>
      <c r="I857" s="405"/>
      <c r="J857" s="405"/>
      <c r="K857" s="405"/>
      <c r="L857" s="405"/>
      <c r="M857" s="405"/>
      <c r="N857" s="405"/>
    </row>
    <row r="858" spans="3:14" x14ac:dyDescent="0.25">
      <c r="C858" s="405"/>
      <c r="D858" s="405"/>
      <c r="E858" s="405"/>
      <c r="F858" s="405"/>
      <c r="G858" s="405"/>
      <c r="H858" s="405"/>
      <c r="I858" s="405"/>
      <c r="J858" s="405"/>
      <c r="K858" s="405"/>
      <c r="L858" s="405"/>
      <c r="M858" s="405"/>
      <c r="N858" s="405"/>
    </row>
    <row r="859" spans="3:14" x14ac:dyDescent="0.25">
      <c r="C859" s="405"/>
      <c r="D859" s="405"/>
      <c r="E859" s="405"/>
      <c r="F859" s="405"/>
      <c r="G859" s="405"/>
      <c r="H859" s="405"/>
      <c r="I859" s="405"/>
      <c r="J859" s="405"/>
      <c r="K859" s="405"/>
      <c r="L859" s="405"/>
      <c r="M859" s="405"/>
      <c r="N859" s="405"/>
    </row>
    <row r="860" spans="3:14" x14ac:dyDescent="0.25">
      <c r="C860" s="405"/>
      <c r="D860" s="405"/>
      <c r="E860" s="405"/>
      <c r="F860" s="405"/>
      <c r="G860" s="405"/>
      <c r="H860" s="405"/>
      <c r="I860" s="405"/>
      <c r="J860" s="405"/>
      <c r="K860" s="405"/>
      <c r="L860" s="405"/>
      <c r="M860" s="405"/>
      <c r="N860" s="405"/>
    </row>
    <row r="861" spans="3:14" x14ac:dyDescent="0.25">
      <c r="C861" s="405"/>
      <c r="D861" s="405"/>
      <c r="E861" s="405"/>
      <c r="F861" s="405"/>
      <c r="G861" s="405"/>
      <c r="H861" s="405"/>
      <c r="I861" s="405"/>
      <c r="J861" s="405"/>
      <c r="K861" s="405"/>
      <c r="L861" s="405"/>
      <c r="M861" s="405"/>
      <c r="N861" s="405"/>
    </row>
    <row r="862" spans="3:14" x14ac:dyDescent="0.25">
      <c r="C862" s="405"/>
      <c r="D862" s="405"/>
      <c r="E862" s="405"/>
      <c r="F862" s="405"/>
      <c r="G862" s="405"/>
      <c r="H862" s="405"/>
      <c r="I862" s="405"/>
      <c r="J862" s="405"/>
      <c r="K862" s="405"/>
      <c r="L862" s="405"/>
      <c r="M862" s="405"/>
      <c r="N862" s="405"/>
    </row>
    <row r="863" spans="3:14" x14ac:dyDescent="0.25">
      <c r="C863" s="405"/>
      <c r="D863" s="405"/>
      <c r="E863" s="405"/>
      <c r="F863" s="405"/>
      <c r="G863" s="405"/>
      <c r="H863" s="405"/>
      <c r="I863" s="405"/>
      <c r="J863" s="405"/>
      <c r="K863" s="405"/>
      <c r="L863" s="405"/>
      <c r="M863" s="405"/>
      <c r="N863" s="405"/>
    </row>
    <row r="864" spans="3:14" x14ac:dyDescent="0.25">
      <c r="C864" s="405"/>
      <c r="D864" s="405"/>
      <c r="E864" s="405"/>
      <c r="F864" s="405"/>
      <c r="G864" s="405"/>
      <c r="H864" s="405"/>
      <c r="I864" s="405"/>
      <c r="J864" s="405"/>
      <c r="K864" s="405"/>
      <c r="L864" s="405"/>
      <c r="M864" s="405"/>
      <c r="N864" s="405"/>
    </row>
    <row r="865" spans="3:14" x14ac:dyDescent="0.25">
      <c r="C865" s="405"/>
      <c r="D865" s="405"/>
      <c r="E865" s="405"/>
      <c r="F865" s="405"/>
      <c r="G865" s="405"/>
      <c r="H865" s="405"/>
      <c r="I865" s="405"/>
      <c r="J865" s="405"/>
      <c r="K865" s="405"/>
      <c r="L865" s="405"/>
      <c r="M865" s="405"/>
      <c r="N865" s="405"/>
    </row>
    <row r="866" spans="3:14" x14ac:dyDescent="0.25">
      <c r="C866" s="405"/>
      <c r="D866" s="405"/>
      <c r="E866" s="405"/>
      <c r="F866" s="405"/>
      <c r="G866" s="405"/>
      <c r="H866" s="405"/>
      <c r="I866" s="405"/>
      <c r="J866" s="405"/>
      <c r="K866" s="405"/>
      <c r="L866" s="405"/>
      <c r="M866" s="405"/>
      <c r="N866" s="405"/>
    </row>
    <row r="867" spans="3:14" x14ac:dyDescent="0.25">
      <c r="C867" s="405"/>
      <c r="D867" s="405"/>
      <c r="E867" s="405"/>
      <c r="F867" s="405"/>
      <c r="G867" s="405"/>
      <c r="H867" s="405"/>
      <c r="I867" s="405"/>
      <c r="J867" s="405"/>
      <c r="K867" s="405"/>
      <c r="L867" s="405"/>
      <c r="M867" s="405"/>
      <c r="N867" s="405"/>
    </row>
    <row r="868" spans="3:14" x14ac:dyDescent="0.25">
      <c r="C868" s="405"/>
      <c r="D868" s="405"/>
      <c r="E868" s="405"/>
      <c r="F868" s="405"/>
      <c r="G868" s="405"/>
      <c r="H868" s="405"/>
      <c r="I868" s="405"/>
      <c r="J868" s="405"/>
      <c r="K868" s="405"/>
      <c r="L868" s="405"/>
      <c r="M868" s="405"/>
      <c r="N868" s="405"/>
    </row>
    <row r="869" spans="3:14" x14ac:dyDescent="0.25">
      <c r="C869" s="405"/>
      <c r="D869" s="405"/>
      <c r="E869" s="405"/>
      <c r="F869" s="405"/>
      <c r="G869" s="405"/>
      <c r="H869" s="405"/>
      <c r="I869" s="405"/>
      <c r="J869" s="405"/>
      <c r="K869" s="405"/>
      <c r="L869" s="405"/>
      <c r="M869" s="405"/>
      <c r="N869" s="405"/>
    </row>
    <row r="870" spans="3:14" x14ac:dyDescent="0.25">
      <c r="C870" s="405"/>
      <c r="D870" s="405"/>
      <c r="E870" s="405"/>
      <c r="F870" s="405"/>
      <c r="G870" s="405"/>
      <c r="H870" s="405"/>
      <c r="I870" s="405"/>
      <c r="J870" s="405"/>
      <c r="K870" s="405"/>
      <c r="L870" s="405"/>
      <c r="M870" s="405"/>
      <c r="N870" s="405"/>
    </row>
    <row r="871" spans="3:14" x14ac:dyDescent="0.25">
      <c r="C871" s="405"/>
      <c r="D871" s="405"/>
      <c r="E871" s="405"/>
      <c r="F871" s="405"/>
      <c r="G871" s="405"/>
      <c r="H871" s="405"/>
      <c r="I871" s="405"/>
      <c r="J871" s="405"/>
      <c r="K871" s="405"/>
      <c r="L871" s="405"/>
      <c r="M871" s="405"/>
      <c r="N871" s="405"/>
    </row>
    <row r="872" spans="3:14" x14ac:dyDescent="0.25">
      <c r="C872" s="405"/>
      <c r="D872" s="405"/>
      <c r="E872" s="405"/>
      <c r="F872" s="405"/>
      <c r="G872" s="405"/>
      <c r="H872" s="405"/>
      <c r="I872" s="405"/>
      <c r="J872" s="405"/>
      <c r="K872" s="405"/>
      <c r="L872" s="405"/>
      <c r="M872" s="405"/>
      <c r="N872" s="405"/>
    </row>
    <row r="873" spans="3:14" x14ac:dyDescent="0.25">
      <c r="C873" s="405"/>
      <c r="D873" s="405"/>
      <c r="E873" s="405"/>
      <c r="F873" s="405"/>
      <c r="G873" s="405"/>
      <c r="H873" s="405"/>
      <c r="I873" s="405"/>
      <c r="J873" s="405"/>
      <c r="K873" s="405"/>
      <c r="L873" s="405"/>
      <c r="M873" s="405"/>
      <c r="N873" s="405"/>
    </row>
    <row r="874" spans="3:14" x14ac:dyDescent="0.25">
      <c r="C874" s="405"/>
      <c r="D874" s="405"/>
      <c r="E874" s="405"/>
      <c r="F874" s="405"/>
      <c r="G874" s="405"/>
      <c r="H874" s="405"/>
      <c r="I874" s="405"/>
      <c r="J874" s="405"/>
      <c r="K874" s="405"/>
      <c r="L874" s="405"/>
      <c r="M874" s="405"/>
      <c r="N874" s="405"/>
    </row>
    <row r="875" spans="3:14" x14ac:dyDescent="0.25">
      <c r="C875" s="405"/>
      <c r="D875" s="405"/>
      <c r="E875" s="405"/>
      <c r="F875" s="405"/>
      <c r="G875" s="405"/>
      <c r="H875" s="405"/>
      <c r="I875" s="405"/>
      <c r="J875" s="405"/>
      <c r="K875" s="405"/>
      <c r="L875" s="405"/>
      <c r="M875" s="405"/>
      <c r="N875" s="405"/>
    </row>
    <row r="876" spans="3:14" x14ac:dyDescent="0.25">
      <c r="C876" s="405"/>
      <c r="D876" s="405"/>
      <c r="E876" s="405"/>
      <c r="F876" s="405"/>
      <c r="G876" s="405"/>
      <c r="H876" s="405"/>
      <c r="I876" s="405"/>
      <c r="J876" s="405"/>
      <c r="K876" s="405"/>
      <c r="L876" s="405"/>
      <c r="M876" s="405"/>
      <c r="N876" s="405"/>
    </row>
    <row r="877" spans="3:14" x14ac:dyDescent="0.25">
      <c r="C877" s="405"/>
      <c r="D877" s="405"/>
      <c r="E877" s="405"/>
      <c r="F877" s="405"/>
      <c r="G877" s="405"/>
      <c r="H877" s="405"/>
      <c r="I877" s="405"/>
      <c r="J877" s="405"/>
      <c r="K877" s="405"/>
      <c r="L877" s="405"/>
      <c r="M877" s="405"/>
      <c r="N877" s="405"/>
    </row>
    <row r="878" spans="3:14" x14ac:dyDescent="0.25">
      <c r="C878" s="405"/>
      <c r="D878" s="405"/>
      <c r="E878" s="405"/>
      <c r="F878" s="405"/>
      <c r="G878" s="405"/>
      <c r="H878" s="405"/>
      <c r="I878" s="405"/>
      <c r="J878" s="405"/>
      <c r="K878" s="405"/>
      <c r="L878" s="405"/>
      <c r="M878" s="405"/>
      <c r="N878" s="405"/>
    </row>
    <row r="879" spans="3:14" x14ac:dyDescent="0.25">
      <c r="C879" s="405"/>
      <c r="D879" s="405"/>
      <c r="E879" s="405"/>
      <c r="F879" s="405"/>
      <c r="G879" s="405"/>
      <c r="H879" s="405"/>
      <c r="I879" s="405"/>
      <c r="J879" s="405"/>
      <c r="K879" s="405"/>
      <c r="L879" s="405"/>
      <c r="M879" s="405"/>
      <c r="N879" s="405"/>
    </row>
    <row r="880" spans="3:14" x14ac:dyDescent="0.25">
      <c r="C880" s="405"/>
      <c r="D880" s="405"/>
      <c r="E880" s="405"/>
      <c r="F880" s="405"/>
      <c r="G880" s="405"/>
      <c r="H880" s="405"/>
      <c r="I880" s="405"/>
      <c r="J880" s="405"/>
      <c r="K880" s="405"/>
      <c r="L880" s="405"/>
      <c r="M880" s="405"/>
      <c r="N880" s="405"/>
    </row>
    <row r="881" spans="3:14" x14ac:dyDescent="0.25">
      <c r="C881" s="405"/>
      <c r="D881" s="405"/>
      <c r="E881" s="405"/>
      <c r="F881" s="405"/>
      <c r="G881" s="405"/>
      <c r="H881" s="405"/>
      <c r="I881" s="405"/>
      <c r="J881" s="405"/>
      <c r="K881" s="405"/>
      <c r="L881" s="405"/>
      <c r="M881" s="405"/>
      <c r="N881" s="405"/>
    </row>
    <row r="882" spans="3:14" x14ac:dyDescent="0.25">
      <c r="C882" s="405"/>
      <c r="D882" s="405"/>
      <c r="E882" s="405"/>
      <c r="F882" s="405"/>
      <c r="G882" s="405"/>
      <c r="H882" s="405"/>
      <c r="I882" s="405"/>
      <c r="J882" s="405"/>
      <c r="K882" s="405"/>
      <c r="L882" s="405"/>
      <c r="M882" s="405"/>
      <c r="N882" s="405"/>
    </row>
    <row r="883" spans="3:14" x14ac:dyDescent="0.25">
      <c r="C883" s="405"/>
      <c r="D883" s="405"/>
      <c r="E883" s="405"/>
      <c r="F883" s="405"/>
      <c r="G883" s="405"/>
      <c r="H883" s="405"/>
      <c r="I883" s="405"/>
      <c r="J883" s="405"/>
      <c r="K883" s="405"/>
      <c r="L883" s="405"/>
      <c r="M883" s="405"/>
      <c r="N883" s="405"/>
    </row>
    <row r="884" spans="3:14" x14ac:dyDescent="0.25">
      <c r="C884" s="405"/>
      <c r="D884" s="405"/>
      <c r="E884" s="405"/>
      <c r="F884" s="405"/>
      <c r="G884" s="405"/>
      <c r="H884" s="405"/>
      <c r="I884" s="405"/>
      <c r="J884" s="405"/>
      <c r="K884" s="405"/>
      <c r="L884" s="405"/>
      <c r="M884" s="405"/>
      <c r="N884" s="405"/>
    </row>
    <row r="885" spans="3:14" x14ac:dyDescent="0.25">
      <c r="C885" s="405"/>
      <c r="D885" s="405"/>
      <c r="E885" s="405"/>
      <c r="F885" s="405"/>
      <c r="G885" s="405"/>
      <c r="H885" s="405"/>
      <c r="I885" s="405"/>
      <c r="J885" s="405"/>
      <c r="K885" s="405"/>
      <c r="L885" s="405"/>
      <c r="M885" s="405"/>
      <c r="N885" s="405"/>
    </row>
    <row r="886" spans="3:14" x14ac:dyDescent="0.25">
      <c r="C886" s="405"/>
      <c r="D886" s="405"/>
      <c r="E886" s="405"/>
      <c r="F886" s="405"/>
      <c r="G886" s="405"/>
      <c r="H886" s="405"/>
      <c r="I886" s="405"/>
      <c r="J886" s="405"/>
      <c r="K886" s="405"/>
      <c r="L886" s="405"/>
      <c r="M886" s="405"/>
      <c r="N886" s="405"/>
    </row>
    <row r="887" spans="3:14" x14ac:dyDescent="0.25">
      <c r="C887" s="405"/>
      <c r="D887" s="405"/>
      <c r="E887" s="405"/>
      <c r="F887" s="405"/>
      <c r="G887" s="405"/>
      <c r="H887" s="405"/>
      <c r="I887" s="405"/>
      <c r="J887" s="405"/>
      <c r="K887" s="405"/>
      <c r="L887" s="405"/>
      <c r="M887" s="405"/>
      <c r="N887" s="405"/>
    </row>
    <row r="888" spans="3:14" x14ac:dyDescent="0.25">
      <c r="C888" s="405"/>
      <c r="D888" s="405"/>
      <c r="E888" s="405"/>
      <c r="F888" s="405"/>
      <c r="G888" s="405"/>
      <c r="H888" s="405"/>
      <c r="I888" s="405"/>
      <c r="J888" s="405"/>
      <c r="K888" s="405"/>
      <c r="L888" s="405"/>
      <c r="M888" s="405"/>
      <c r="N888" s="405"/>
    </row>
    <row r="889" spans="3:14" x14ac:dyDescent="0.25">
      <c r="C889" s="405"/>
      <c r="D889" s="405"/>
      <c r="E889" s="405"/>
      <c r="F889" s="405"/>
      <c r="G889" s="405"/>
      <c r="H889" s="405"/>
      <c r="I889" s="405"/>
      <c r="J889" s="405"/>
      <c r="K889" s="405"/>
      <c r="L889" s="405"/>
      <c r="M889" s="405"/>
      <c r="N889" s="405"/>
    </row>
    <row r="890" spans="3:14" x14ac:dyDescent="0.25">
      <c r="C890" s="405"/>
      <c r="D890" s="405"/>
      <c r="E890" s="405"/>
      <c r="F890" s="405"/>
      <c r="G890" s="405"/>
      <c r="H890" s="405"/>
      <c r="I890" s="405"/>
      <c r="J890" s="405"/>
      <c r="K890" s="405"/>
      <c r="L890" s="405"/>
      <c r="M890" s="405"/>
      <c r="N890" s="405"/>
    </row>
    <row r="891" spans="3:14" x14ac:dyDescent="0.25">
      <c r="C891" s="405"/>
      <c r="D891" s="405"/>
      <c r="E891" s="405"/>
      <c r="F891" s="405"/>
      <c r="G891" s="405"/>
      <c r="H891" s="405"/>
      <c r="I891" s="405"/>
      <c r="J891" s="405"/>
      <c r="K891" s="405"/>
      <c r="L891" s="405"/>
      <c r="M891" s="405"/>
      <c r="N891" s="405"/>
    </row>
    <row r="892" spans="3:14" x14ac:dyDescent="0.25">
      <c r="C892" s="405"/>
      <c r="D892" s="405"/>
      <c r="E892" s="405"/>
      <c r="F892" s="405"/>
      <c r="G892" s="405"/>
      <c r="H892" s="405"/>
      <c r="I892" s="405"/>
      <c r="J892" s="405"/>
      <c r="K892" s="405"/>
      <c r="L892" s="405"/>
      <c r="M892" s="405"/>
      <c r="N892" s="405"/>
    </row>
    <row r="893" spans="3:14" x14ac:dyDescent="0.25">
      <c r="C893" s="405"/>
      <c r="D893" s="405"/>
      <c r="E893" s="405"/>
      <c r="F893" s="405"/>
      <c r="G893" s="405"/>
      <c r="H893" s="405"/>
      <c r="I893" s="405"/>
      <c r="J893" s="405"/>
      <c r="K893" s="405"/>
      <c r="L893" s="405"/>
      <c r="M893" s="405"/>
      <c r="N893" s="405"/>
    </row>
    <row r="894" spans="3:14" x14ac:dyDescent="0.25">
      <c r="C894" s="405"/>
      <c r="D894" s="405"/>
      <c r="E894" s="405"/>
      <c r="F894" s="405"/>
      <c r="G894" s="405"/>
      <c r="H894" s="405"/>
      <c r="I894" s="405"/>
      <c r="J894" s="405"/>
      <c r="K894" s="405"/>
      <c r="L894" s="405"/>
      <c r="M894" s="405"/>
      <c r="N894" s="405"/>
    </row>
    <row r="895" spans="3:14" x14ac:dyDescent="0.25">
      <c r="C895" s="405"/>
      <c r="D895" s="405"/>
      <c r="E895" s="405"/>
      <c r="F895" s="405"/>
      <c r="G895" s="405"/>
      <c r="H895" s="405"/>
      <c r="I895" s="405"/>
      <c r="J895" s="405"/>
      <c r="K895" s="405"/>
      <c r="L895" s="405"/>
      <c r="M895" s="405"/>
      <c r="N895" s="405"/>
    </row>
    <row r="896" spans="3:14" x14ac:dyDescent="0.25">
      <c r="C896" s="405"/>
      <c r="D896" s="405"/>
      <c r="E896" s="405"/>
      <c r="F896" s="405"/>
      <c r="G896" s="405"/>
      <c r="H896" s="405"/>
      <c r="I896" s="405"/>
      <c r="J896" s="405"/>
      <c r="K896" s="405"/>
      <c r="L896" s="405"/>
      <c r="M896" s="405"/>
      <c r="N896" s="405"/>
    </row>
    <row r="897" spans="3:14" x14ac:dyDescent="0.25">
      <c r="C897" s="405"/>
      <c r="D897" s="405"/>
      <c r="E897" s="405"/>
      <c r="F897" s="405"/>
      <c r="G897" s="405"/>
      <c r="H897" s="405"/>
      <c r="I897" s="405"/>
      <c r="J897" s="405"/>
      <c r="K897" s="405"/>
      <c r="L897" s="405"/>
      <c r="M897" s="405"/>
      <c r="N897" s="405"/>
    </row>
    <row r="898" spans="3:14" x14ac:dyDescent="0.25">
      <c r="C898" s="405"/>
      <c r="D898" s="405"/>
      <c r="E898" s="405"/>
      <c r="F898" s="405"/>
      <c r="G898" s="405"/>
      <c r="H898" s="405"/>
      <c r="I898" s="405"/>
      <c r="J898" s="405"/>
      <c r="K898" s="405"/>
      <c r="L898" s="405"/>
      <c r="M898" s="405"/>
      <c r="N898" s="405"/>
    </row>
    <row r="899" spans="3:14" x14ac:dyDescent="0.25">
      <c r="C899" s="405"/>
      <c r="D899" s="405"/>
      <c r="E899" s="405"/>
      <c r="F899" s="405"/>
      <c r="G899" s="405"/>
      <c r="H899" s="405"/>
      <c r="I899" s="405"/>
      <c r="J899" s="405"/>
      <c r="K899" s="405"/>
      <c r="L899" s="405"/>
      <c r="M899" s="405"/>
      <c r="N899" s="405"/>
    </row>
    <row r="900" spans="3:14" x14ac:dyDescent="0.25">
      <c r="C900" s="405"/>
      <c r="D900" s="405"/>
      <c r="E900" s="405"/>
      <c r="F900" s="405"/>
      <c r="G900" s="405"/>
      <c r="H900" s="405"/>
      <c r="I900" s="405"/>
      <c r="J900" s="405"/>
      <c r="K900" s="405"/>
      <c r="L900" s="405"/>
      <c r="M900" s="405"/>
      <c r="N900" s="405"/>
    </row>
    <row r="901" spans="3:14" x14ac:dyDescent="0.25">
      <c r="C901" s="405"/>
      <c r="D901" s="405"/>
      <c r="E901" s="405"/>
      <c r="F901" s="405"/>
      <c r="G901" s="405"/>
      <c r="H901" s="405"/>
      <c r="I901" s="405"/>
      <c r="J901" s="405"/>
      <c r="K901" s="405"/>
      <c r="L901" s="405"/>
      <c r="M901" s="405"/>
      <c r="N901" s="405"/>
    </row>
    <row r="902" spans="3:14" x14ac:dyDescent="0.25">
      <c r="C902" s="405"/>
      <c r="D902" s="405"/>
      <c r="E902" s="405"/>
      <c r="F902" s="405"/>
      <c r="G902" s="405"/>
      <c r="H902" s="405"/>
      <c r="I902" s="405"/>
      <c r="J902" s="405"/>
      <c r="K902" s="405"/>
      <c r="L902" s="405"/>
      <c r="M902" s="405"/>
      <c r="N902" s="405"/>
    </row>
    <row r="903" spans="3:14" x14ac:dyDescent="0.25">
      <c r="C903" s="405"/>
      <c r="D903" s="405"/>
      <c r="E903" s="405"/>
      <c r="F903" s="405"/>
      <c r="G903" s="405"/>
      <c r="H903" s="405"/>
      <c r="I903" s="405"/>
      <c r="J903" s="405"/>
      <c r="K903" s="405"/>
      <c r="L903" s="405"/>
      <c r="M903" s="405"/>
      <c r="N903" s="405"/>
    </row>
    <row r="904" spans="3:14" x14ac:dyDescent="0.25">
      <c r="C904" s="405"/>
      <c r="D904" s="405"/>
      <c r="E904" s="405"/>
      <c r="F904" s="405"/>
      <c r="G904" s="405"/>
      <c r="H904" s="405"/>
      <c r="I904" s="405"/>
      <c r="J904" s="405"/>
      <c r="K904" s="405"/>
      <c r="L904" s="405"/>
      <c r="M904" s="405"/>
      <c r="N904" s="405"/>
    </row>
    <row r="905" spans="3:14" x14ac:dyDescent="0.25">
      <c r="C905" s="405"/>
      <c r="D905" s="405"/>
      <c r="E905" s="405"/>
      <c r="F905" s="405"/>
      <c r="G905" s="405"/>
      <c r="H905" s="405"/>
      <c r="I905" s="405"/>
      <c r="J905" s="405"/>
      <c r="K905" s="405"/>
      <c r="L905" s="405"/>
      <c r="M905" s="405"/>
      <c r="N905" s="405"/>
    </row>
    <row r="906" spans="3:14" x14ac:dyDescent="0.25">
      <c r="C906" s="405"/>
      <c r="D906" s="405"/>
      <c r="E906" s="405"/>
      <c r="F906" s="405"/>
      <c r="G906" s="405"/>
      <c r="H906" s="405"/>
      <c r="I906" s="405"/>
      <c r="J906" s="405"/>
      <c r="K906" s="405"/>
      <c r="L906" s="405"/>
      <c r="M906" s="405"/>
      <c r="N906" s="405"/>
    </row>
    <row r="907" spans="3:14" x14ac:dyDescent="0.25">
      <c r="C907" s="405"/>
      <c r="D907" s="405"/>
      <c r="E907" s="405"/>
      <c r="F907" s="405"/>
      <c r="G907" s="405"/>
      <c r="H907" s="405"/>
      <c r="I907" s="405"/>
      <c r="J907" s="405"/>
      <c r="K907" s="405"/>
      <c r="L907" s="405"/>
      <c r="M907" s="405"/>
      <c r="N907" s="405"/>
    </row>
    <row r="908" spans="3:14" x14ac:dyDescent="0.25">
      <c r="C908" s="405"/>
      <c r="D908" s="405"/>
      <c r="E908" s="405"/>
      <c r="F908" s="405"/>
      <c r="G908" s="405"/>
      <c r="H908" s="405"/>
      <c r="I908" s="405"/>
      <c r="J908" s="405"/>
      <c r="K908" s="405"/>
      <c r="L908" s="405"/>
      <c r="M908" s="405"/>
      <c r="N908" s="405"/>
    </row>
    <row r="909" spans="3:14" x14ac:dyDescent="0.25">
      <c r="C909" s="405"/>
      <c r="D909" s="405"/>
      <c r="E909" s="405"/>
      <c r="F909" s="405"/>
      <c r="G909" s="405"/>
      <c r="H909" s="405"/>
      <c r="I909" s="405"/>
      <c r="J909" s="405"/>
      <c r="K909" s="405"/>
      <c r="L909" s="405"/>
      <c r="M909" s="405"/>
      <c r="N909" s="405"/>
    </row>
    <row r="910" spans="3:14" x14ac:dyDescent="0.25">
      <c r="C910" s="405"/>
      <c r="D910" s="405"/>
      <c r="E910" s="405"/>
      <c r="F910" s="405"/>
      <c r="G910" s="405"/>
      <c r="H910" s="405"/>
      <c r="I910" s="405"/>
      <c r="J910" s="405"/>
      <c r="K910" s="405"/>
      <c r="L910" s="405"/>
      <c r="M910" s="405"/>
      <c r="N910" s="405"/>
    </row>
    <row r="911" spans="3:14" x14ac:dyDescent="0.25">
      <c r="C911" s="405"/>
      <c r="D911" s="405"/>
      <c r="E911" s="405"/>
      <c r="F911" s="405"/>
      <c r="G911" s="405"/>
      <c r="H911" s="405"/>
      <c r="I911" s="405"/>
      <c r="J911" s="405"/>
      <c r="K911" s="405"/>
      <c r="L911" s="405"/>
      <c r="M911" s="405"/>
      <c r="N911" s="405"/>
    </row>
    <row r="912" spans="3:14" x14ac:dyDescent="0.25">
      <c r="C912" s="405"/>
      <c r="D912" s="405"/>
      <c r="E912" s="405"/>
      <c r="F912" s="405"/>
      <c r="G912" s="405"/>
      <c r="H912" s="405"/>
      <c r="I912" s="405"/>
      <c r="J912" s="405"/>
      <c r="K912" s="405"/>
      <c r="L912" s="405"/>
      <c r="M912" s="405"/>
      <c r="N912" s="405"/>
    </row>
    <row r="913" spans="3:14" x14ac:dyDescent="0.25">
      <c r="C913" s="405"/>
      <c r="D913" s="405"/>
      <c r="E913" s="405"/>
      <c r="F913" s="405"/>
      <c r="G913" s="405"/>
      <c r="H913" s="405"/>
      <c r="I913" s="405"/>
      <c r="J913" s="405"/>
      <c r="K913" s="405"/>
      <c r="L913" s="405"/>
      <c r="M913" s="405"/>
      <c r="N913" s="405"/>
    </row>
    <row r="914" spans="3:14" x14ac:dyDescent="0.25">
      <c r="C914" s="405"/>
      <c r="D914" s="405"/>
      <c r="E914" s="405"/>
      <c r="F914" s="405"/>
      <c r="G914" s="405"/>
      <c r="H914" s="405"/>
      <c r="I914" s="405"/>
      <c r="J914" s="405"/>
      <c r="K914" s="405"/>
      <c r="L914" s="405"/>
      <c r="M914" s="405"/>
      <c r="N914" s="405"/>
    </row>
    <row r="915" spans="3:14" x14ac:dyDescent="0.25">
      <c r="C915" s="405"/>
      <c r="D915" s="405"/>
      <c r="E915" s="405"/>
      <c r="F915" s="405"/>
      <c r="G915" s="405"/>
      <c r="H915" s="405"/>
      <c r="I915" s="405"/>
      <c r="J915" s="405"/>
      <c r="K915" s="405"/>
      <c r="L915" s="405"/>
      <c r="M915" s="405"/>
      <c r="N915" s="405"/>
    </row>
    <row r="916" spans="3:14" x14ac:dyDescent="0.25">
      <c r="C916" s="405"/>
      <c r="D916" s="405"/>
      <c r="E916" s="405"/>
      <c r="F916" s="405"/>
      <c r="G916" s="405"/>
      <c r="H916" s="405"/>
      <c r="I916" s="405"/>
      <c r="J916" s="405"/>
      <c r="K916" s="405"/>
      <c r="L916" s="405"/>
      <c r="M916" s="405"/>
      <c r="N916" s="405"/>
    </row>
    <row r="917" spans="3:14" x14ac:dyDescent="0.25">
      <c r="C917" s="405"/>
      <c r="D917" s="405"/>
      <c r="E917" s="405"/>
      <c r="F917" s="405"/>
      <c r="G917" s="405"/>
      <c r="H917" s="405"/>
      <c r="I917" s="405"/>
      <c r="J917" s="405"/>
      <c r="K917" s="405"/>
      <c r="L917" s="405"/>
      <c r="M917" s="405"/>
      <c r="N917" s="405"/>
    </row>
    <row r="918" spans="3:14" x14ac:dyDescent="0.25">
      <c r="C918" s="405"/>
      <c r="D918" s="405"/>
      <c r="E918" s="405"/>
      <c r="F918" s="405"/>
      <c r="G918" s="405"/>
      <c r="H918" s="405"/>
      <c r="I918" s="405"/>
      <c r="J918" s="405"/>
      <c r="K918" s="405"/>
      <c r="L918" s="405"/>
      <c r="M918" s="405"/>
      <c r="N918" s="405"/>
    </row>
    <row r="919" spans="3:14" x14ac:dyDescent="0.25">
      <c r="C919" s="405"/>
      <c r="D919" s="405"/>
      <c r="E919" s="405"/>
      <c r="F919" s="405"/>
      <c r="G919" s="405"/>
      <c r="H919" s="405"/>
      <c r="I919" s="405"/>
      <c r="J919" s="405"/>
      <c r="K919" s="405"/>
      <c r="L919" s="405"/>
      <c r="M919" s="405"/>
      <c r="N919" s="405"/>
    </row>
    <row r="920" spans="3:14" x14ac:dyDescent="0.25">
      <c r="C920" s="405"/>
      <c r="D920" s="405"/>
      <c r="E920" s="405"/>
      <c r="F920" s="405"/>
      <c r="G920" s="405"/>
      <c r="H920" s="405"/>
      <c r="I920" s="405"/>
      <c r="J920" s="405"/>
      <c r="K920" s="405"/>
      <c r="L920" s="405"/>
      <c r="M920" s="405"/>
      <c r="N920" s="405"/>
    </row>
    <row r="921" spans="3:14" x14ac:dyDescent="0.25">
      <c r="C921" s="405"/>
      <c r="D921" s="405"/>
      <c r="E921" s="405"/>
      <c r="F921" s="405"/>
      <c r="G921" s="405"/>
      <c r="H921" s="405"/>
      <c r="I921" s="405"/>
      <c r="J921" s="405"/>
      <c r="K921" s="405"/>
      <c r="L921" s="405"/>
      <c r="M921" s="405"/>
      <c r="N921" s="405"/>
    </row>
    <row r="922" spans="3:14" x14ac:dyDescent="0.25">
      <c r="C922" s="405"/>
      <c r="D922" s="405"/>
      <c r="E922" s="405"/>
      <c r="F922" s="405"/>
      <c r="G922" s="405"/>
      <c r="H922" s="405"/>
      <c r="I922" s="405"/>
      <c r="J922" s="405"/>
      <c r="K922" s="405"/>
      <c r="L922" s="405"/>
      <c r="M922" s="405"/>
      <c r="N922" s="405"/>
    </row>
    <row r="923" spans="3:14" x14ac:dyDescent="0.25">
      <c r="C923" s="405"/>
      <c r="D923" s="405"/>
      <c r="E923" s="405"/>
      <c r="F923" s="405"/>
      <c r="G923" s="405"/>
      <c r="H923" s="405"/>
      <c r="I923" s="405"/>
      <c r="J923" s="405"/>
      <c r="K923" s="405"/>
      <c r="L923" s="405"/>
      <c r="M923" s="405"/>
      <c r="N923" s="405"/>
    </row>
    <row r="924" spans="3:14" x14ac:dyDescent="0.25">
      <c r="C924" s="405"/>
      <c r="D924" s="405"/>
      <c r="E924" s="405"/>
      <c r="F924" s="405"/>
      <c r="G924" s="405"/>
      <c r="H924" s="405"/>
      <c r="I924" s="405"/>
      <c r="J924" s="405"/>
      <c r="K924" s="405"/>
      <c r="L924" s="405"/>
      <c r="M924" s="405"/>
      <c r="N924" s="405"/>
    </row>
    <row r="925" spans="3:14" x14ac:dyDescent="0.25">
      <c r="C925" s="405"/>
      <c r="D925" s="405"/>
      <c r="E925" s="405"/>
      <c r="F925" s="405"/>
      <c r="G925" s="405"/>
      <c r="H925" s="405"/>
      <c r="I925" s="405"/>
      <c r="J925" s="405"/>
      <c r="K925" s="405"/>
      <c r="L925" s="405"/>
      <c r="M925" s="405"/>
      <c r="N925" s="405"/>
    </row>
    <row r="926" spans="3:14" x14ac:dyDescent="0.25">
      <c r="C926" s="405"/>
      <c r="D926" s="405"/>
      <c r="E926" s="405"/>
      <c r="F926" s="405"/>
      <c r="G926" s="405"/>
      <c r="H926" s="405"/>
      <c r="I926" s="405"/>
      <c r="J926" s="405"/>
      <c r="K926" s="405"/>
      <c r="L926" s="405"/>
      <c r="M926" s="405"/>
      <c r="N926" s="405"/>
    </row>
    <row r="927" spans="3:14" x14ac:dyDescent="0.25">
      <c r="C927" s="405"/>
      <c r="D927" s="405"/>
      <c r="E927" s="405"/>
      <c r="F927" s="405"/>
      <c r="G927" s="405"/>
      <c r="H927" s="405"/>
      <c r="I927" s="405"/>
      <c r="J927" s="405"/>
      <c r="K927" s="405"/>
      <c r="L927" s="405"/>
      <c r="M927" s="405"/>
      <c r="N927" s="405"/>
    </row>
    <row r="928" spans="3:14" x14ac:dyDescent="0.25">
      <c r="C928" s="405"/>
      <c r="D928" s="405"/>
      <c r="E928" s="405"/>
      <c r="F928" s="405"/>
      <c r="G928" s="405"/>
      <c r="H928" s="405"/>
      <c r="I928" s="405"/>
      <c r="J928" s="405"/>
      <c r="K928" s="405"/>
      <c r="L928" s="405"/>
      <c r="M928" s="405"/>
      <c r="N928" s="405"/>
    </row>
    <row r="929" spans="3:14" x14ac:dyDescent="0.25">
      <c r="C929" s="405"/>
      <c r="D929" s="405"/>
      <c r="E929" s="405"/>
      <c r="F929" s="405"/>
      <c r="G929" s="405"/>
      <c r="H929" s="405"/>
      <c r="I929" s="405"/>
      <c r="J929" s="405"/>
      <c r="K929" s="405"/>
      <c r="L929" s="405"/>
      <c r="M929" s="405"/>
      <c r="N929" s="405"/>
    </row>
    <row r="930" spans="3:14" x14ac:dyDescent="0.25">
      <c r="C930" s="405"/>
      <c r="D930" s="405"/>
      <c r="E930" s="405"/>
      <c r="F930" s="405"/>
      <c r="G930" s="405"/>
      <c r="H930" s="405"/>
      <c r="I930" s="405"/>
      <c r="J930" s="405"/>
      <c r="K930" s="405"/>
      <c r="L930" s="405"/>
      <c r="M930" s="405"/>
      <c r="N930" s="405"/>
    </row>
    <row r="931" spans="3:14" x14ac:dyDescent="0.25">
      <c r="C931" s="405"/>
      <c r="D931" s="405"/>
      <c r="E931" s="405"/>
      <c r="F931" s="405"/>
      <c r="G931" s="405"/>
      <c r="H931" s="405"/>
      <c r="I931" s="405"/>
      <c r="J931" s="405"/>
      <c r="K931" s="405"/>
      <c r="L931" s="405"/>
      <c r="M931" s="405"/>
      <c r="N931" s="405"/>
    </row>
    <row r="932" spans="3:14" x14ac:dyDescent="0.25">
      <c r="C932" s="405"/>
      <c r="D932" s="405"/>
      <c r="E932" s="405"/>
      <c r="F932" s="405"/>
      <c r="G932" s="405"/>
      <c r="H932" s="405"/>
      <c r="I932" s="405"/>
      <c r="J932" s="405"/>
      <c r="K932" s="405"/>
      <c r="L932" s="405"/>
      <c r="M932" s="405"/>
      <c r="N932" s="405"/>
    </row>
    <row r="933" spans="3:14" x14ac:dyDescent="0.25">
      <c r="C933" s="405"/>
      <c r="D933" s="405"/>
      <c r="E933" s="405"/>
      <c r="F933" s="405"/>
      <c r="G933" s="405"/>
      <c r="H933" s="405"/>
      <c r="I933" s="405"/>
      <c r="J933" s="405"/>
      <c r="K933" s="405"/>
      <c r="L933" s="405"/>
      <c r="M933" s="405"/>
      <c r="N933" s="405"/>
    </row>
    <row r="934" spans="3:14" x14ac:dyDescent="0.25">
      <c r="C934" s="405"/>
      <c r="D934" s="405"/>
      <c r="E934" s="405"/>
      <c r="F934" s="405"/>
      <c r="G934" s="405"/>
      <c r="H934" s="405"/>
      <c r="I934" s="405"/>
      <c r="J934" s="405"/>
      <c r="K934" s="405"/>
      <c r="L934" s="405"/>
      <c r="M934" s="405"/>
      <c r="N934" s="405"/>
    </row>
    <row r="935" spans="3:14" x14ac:dyDescent="0.25">
      <c r="C935" s="405"/>
      <c r="D935" s="405"/>
      <c r="E935" s="405"/>
      <c r="F935" s="405"/>
      <c r="G935" s="405"/>
      <c r="H935" s="405"/>
      <c r="I935" s="405"/>
      <c r="J935" s="405"/>
      <c r="K935" s="405"/>
      <c r="L935" s="405"/>
      <c r="M935" s="405"/>
      <c r="N935" s="405"/>
    </row>
    <row r="936" spans="3:14" x14ac:dyDescent="0.25">
      <c r="C936" s="405"/>
      <c r="D936" s="405"/>
      <c r="E936" s="405"/>
      <c r="F936" s="405"/>
      <c r="G936" s="405"/>
      <c r="H936" s="405"/>
      <c r="I936" s="405"/>
      <c r="J936" s="405"/>
      <c r="K936" s="405"/>
      <c r="L936" s="405"/>
      <c r="M936" s="405"/>
      <c r="N936" s="405"/>
    </row>
    <row r="937" spans="3:14" x14ac:dyDescent="0.25">
      <c r="C937" s="405"/>
      <c r="D937" s="405"/>
      <c r="E937" s="405"/>
      <c r="F937" s="405"/>
      <c r="G937" s="405"/>
      <c r="H937" s="405"/>
      <c r="I937" s="405"/>
      <c r="J937" s="405"/>
      <c r="K937" s="405"/>
      <c r="L937" s="405"/>
      <c r="M937" s="405"/>
      <c r="N937" s="405"/>
    </row>
    <row r="938" spans="3:14" x14ac:dyDescent="0.25">
      <c r="C938" s="405"/>
      <c r="D938" s="405"/>
      <c r="E938" s="405"/>
      <c r="F938" s="405"/>
      <c r="G938" s="405"/>
      <c r="H938" s="405"/>
      <c r="I938" s="405"/>
      <c r="J938" s="405"/>
      <c r="K938" s="405"/>
      <c r="L938" s="405"/>
      <c r="M938" s="405"/>
      <c r="N938" s="405"/>
    </row>
    <row r="939" spans="3:14" x14ac:dyDescent="0.25">
      <c r="C939" s="405"/>
      <c r="D939" s="405"/>
      <c r="E939" s="405"/>
      <c r="F939" s="405"/>
      <c r="G939" s="405"/>
      <c r="H939" s="405"/>
      <c r="I939" s="405"/>
      <c r="J939" s="405"/>
      <c r="K939" s="405"/>
      <c r="L939" s="405"/>
      <c r="M939" s="405"/>
      <c r="N939" s="405"/>
    </row>
    <row r="940" spans="3:14" x14ac:dyDescent="0.25">
      <c r="C940" s="405"/>
      <c r="D940" s="405"/>
      <c r="E940" s="405"/>
      <c r="F940" s="405"/>
      <c r="G940" s="405"/>
      <c r="H940" s="405"/>
      <c r="I940" s="405"/>
      <c r="J940" s="405"/>
      <c r="K940" s="405"/>
      <c r="L940" s="405"/>
      <c r="M940" s="405"/>
      <c r="N940" s="405"/>
    </row>
    <row r="941" spans="3:14" x14ac:dyDescent="0.25">
      <c r="C941" s="405"/>
      <c r="D941" s="405"/>
      <c r="E941" s="405"/>
      <c r="F941" s="405"/>
      <c r="G941" s="405"/>
      <c r="H941" s="405"/>
      <c r="I941" s="405"/>
      <c r="J941" s="405"/>
      <c r="K941" s="405"/>
      <c r="L941" s="405"/>
      <c r="M941" s="405"/>
      <c r="N941" s="405"/>
    </row>
    <row r="942" spans="3:14" x14ac:dyDescent="0.25">
      <c r="C942" s="405"/>
      <c r="D942" s="405"/>
      <c r="E942" s="405"/>
      <c r="F942" s="405"/>
      <c r="G942" s="405"/>
      <c r="H942" s="405"/>
      <c r="I942" s="405"/>
      <c r="J942" s="405"/>
      <c r="K942" s="405"/>
      <c r="L942" s="405"/>
      <c r="M942" s="405"/>
      <c r="N942" s="405"/>
    </row>
    <row r="943" spans="3:14" x14ac:dyDescent="0.25">
      <c r="C943" s="405"/>
      <c r="D943" s="405"/>
      <c r="E943" s="405"/>
      <c r="F943" s="405"/>
      <c r="G943" s="405"/>
      <c r="H943" s="405"/>
      <c r="I943" s="405"/>
      <c r="J943" s="405"/>
      <c r="K943" s="405"/>
      <c r="L943" s="405"/>
      <c r="M943" s="405"/>
      <c r="N943" s="405"/>
    </row>
    <row r="944" spans="3:14" x14ac:dyDescent="0.25">
      <c r="C944" s="405"/>
      <c r="D944" s="405"/>
      <c r="E944" s="405"/>
      <c r="F944" s="405"/>
      <c r="G944" s="405"/>
      <c r="H944" s="405"/>
      <c r="I944" s="405"/>
      <c r="J944" s="405"/>
      <c r="K944" s="405"/>
      <c r="L944" s="405"/>
      <c r="M944" s="405"/>
      <c r="N944" s="405"/>
    </row>
    <row r="945" spans="3:14" x14ac:dyDescent="0.25">
      <c r="C945" s="405"/>
      <c r="D945" s="405"/>
      <c r="E945" s="405"/>
      <c r="F945" s="405"/>
      <c r="G945" s="405"/>
      <c r="H945" s="405"/>
      <c r="I945" s="405"/>
      <c r="J945" s="405"/>
      <c r="K945" s="405"/>
      <c r="L945" s="405"/>
      <c r="M945" s="405"/>
      <c r="N945" s="405"/>
    </row>
    <row r="946" spans="3:14" x14ac:dyDescent="0.25">
      <c r="C946" s="405"/>
      <c r="D946" s="405"/>
      <c r="E946" s="405"/>
      <c r="F946" s="405"/>
      <c r="G946" s="405"/>
      <c r="H946" s="405"/>
      <c r="I946" s="405"/>
      <c r="J946" s="405"/>
      <c r="K946" s="405"/>
      <c r="L946" s="405"/>
      <c r="M946" s="405"/>
      <c r="N946" s="405"/>
    </row>
    <row r="947" spans="3:14" x14ac:dyDescent="0.25">
      <c r="C947" s="405"/>
      <c r="D947" s="405"/>
      <c r="E947" s="405"/>
      <c r="F947" s="405"/>
      <c r="G947" s="405"/>
      <c r="H947" s="405"/>
      <c r="I947" s="405"/>
      <c r="J947" s="405"/>
      <c r="K947" s="405"/>
      <c r="L947" s="405"/>
      <c r="M947" s="405"/>
      <c r="N947" s="405"/>
    </row>
    <row r="948" spans="3:14" x14ac:dyDescent="0.25">
      <c r="C948" s="405"/>
      <c r="D948" s="405"/>
      <c r="E948" s="405"/>
      <c r="F948" s="405"/>
      <c r="G948" s="405"/>
      <c r="H948" s="405"/>
      <c r="I948" s="405"/>
      <c r="J948" s="405"/>
      <c r="K948" s="405"/>
      <c r="L948" s="405"/>
      <c r="M948" s="405"/>
      <c r="N948" s="405"/>
    </row>
  </sheetData>
  <mergeCells count="1">
    <mergeCell ref="A1:N1"/>
  </mergeCells>
  <phoneticPr fontId="3" type="noConversion"/>
  <pageMargins left="0.5" right="0.78740157480314965" top="0.17" bottom="0.17" header="0.51181102362204722" footer="0.25"/>
  <pageSetup paperSize="9" scale="28" orientation="landscape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31</vt:i4>
      </vt:variant>
      <vt:variant>
        <vt:lpstr>Névvel ellátott tartományok</vt:lpstr>
      </vt:variant>
      <vt:variant>
        <vt:i4>11</vt:i4>
      </vt:variant>
    </vt:vector>
  </HeadingPairs>
  <TitlesOfParts>
    <vt:vector size="42" baseType="lpstr">
      <vt:lpstr>1.sz. melléklet</vt:lpstr>
      <vt:lpstr>2.sz.melléklet</vt:lpstr>
      <vt:lpstr>3.sz.melléklet</vt:lpstr>
      <vt:lpstr>4. sz.melléklet</vt:lpstr>
      <vt:lpstr>5. sz.melléklet</vt:lpstr>
      <vt:lpstr>5.a.sz. melléklet</vt:lpstr>
      <vt:lpstr>5.b.sz. melléklet</vt:lpstr>
      <vt:lpstr>6. sz.melléklet</vt:lpstr>
      <vt:lpstr>6.a.sz. melléklet</vt:lpstr>
      <vt:lpstr>6.b.sz.melléklet</vt:lpstr>
      <vt:lpstr>6.c.sz. melléklet</vt:lpstr>
      <vt:lpstr>7.sz.melléklet</vt:lpstr>
      <vt:lpstr>8.sz. melléklet</vt:lpstr>
      <vt:lpstr>9.sz. melléklet</vt:lpstr>
      <vt:lpstr>10.sz. melléklet </vt:lpstr>
      <vt:lpstr>11.sz.melléklet</vt:lpstr>
      <vt:lpstr>11.a.sz.melléklet</vt:lpstr>
      <vt:lpstr>12.sz.melléklet</vt:lpstr>
      <vt:lpstr>12.a.sz.melléklet</vt:lpstr>
      <vt:lpstr>13.sz.melléklet</vt:lpstr>
      <vt:lpstr>13.a.sz. melléklet</vt:lpstr>
      <vt:lpstr>14.sz.melléklet</vt:lpstr>
      <vt:lpstr>14.a.sz. melléklet</vt:lpstr>
      <vt:lpstr>15.sz.melléklet</vt:lpstr>
      <vt:lpstr>15.a.sz.melléklet</vt:lpstr>
      <vt:lpstr>16.sz. melléklet</vt:lpstr>
      <vt:lpstr>16.a.sz. melléklet</vt:lpstr>
      <vt:lpstr>17. sz.melléklet</vt:lpstr>
      <vt:lpstr>18.sz.melléklet</vt:lpstr>
      <vt:lpstr>19.sz.melléklet</vt:lpstr>
      <vt:lpstr>20.sz. melléklet</vt:lpstr>
      <vt:lpstr>'6. sz.melléklet'!Nyomtatási_cím</vt:lpstr>
      <vt:lpstr>'1.sz. melléklet'!Nyomtatási_terület</vt:lpstr>
      <vt:lpstr>'10.sz. melléklet '!Nyomtatási_terület</vt:lpstr>
      <vt:lpstr>'17. sz.melléklet'!Nyomtatási_terület</vt:lpstr>
      <vt:lpstr>'4. sz.melléklet'!Nyomtatási_terület</vt:lpstr>
      <vt:lpstr>'5. sz.melléklet'!Nyomtatási_terület</vt:lpstr>
      <vt:lpstr>'5.b.sz. melléklet'!Nyomtatási_terület</vt:lpstr>
      <vt:lpstr>'8.sz. melléklet'!Nyomtatási_terület</vt:lpstr>
      <vt:lpstr>'9.sz. melléklet'!Nyomtatási_terület</vt:lpstr>
      <vt:lpstr>'11.a.sz.melléklet'!sora__5</vt:lpstr>
      <vt:lpstr>'11.sz.melléklet'!sora__5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farkas</dc:title>
  <dc:creator>Polgármesteri Hivatal</dc:creator>
  <cp:lastModifiedBy>szilvi</cp:lastModifiedBy>
  <cp:lastPrinted>2019-04-04T12:05:56Z</cp:lastPrinted>
  <dcterms:created xsi:type="dcterms:W3CDTF">2002-01-23T07:14:43Z</dcterms:created>
  <dcterms:modified xsi:type="dcterms:W3CDTF">2020-03-06T12:23:52Z</dcterms:modified>
</cp:coreProperties>
</file>